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ilesv01\技術管理課\03 技術管理班（旧建設基準班）\71 検討事項\04 真夏日補正\"/>
    </mc:Choice>
  </mc:AlternateContent>
  <xr:revisionPtr revIDLastSave="0" documentId="13_ncr:1_{5EF37986-0DCA-46AE-BC04-11934218B92F}" xr6:coauthVersionLast="36" xr6:coauthVersionMax="36" xr10:uidLastSave="{00000000-0000-0000-0000-000000000000}"/>
  <bookViews>
    <workbookView xWindow="0" yWindow="0" windowWidth="18090" windowHeight="7335" xr2:uid="{00000000-000D-0000-FFFF-FFFF00000000}"/>
  </bookViews>
  <sheets>
    <sheet name="真夏日率算定表" sheetId="3" r:id="rId1"/>
    <sheet name="【記載例】真夏日率算定表" sheetId="13" r:id="rId2"/>
    <sheet name="集計表1" sheetId="12" r:id="rId3"/>
    <sheet name="【記載例】集計表記載例" sheetId="6" r:id="rId4"/>
    <sheet name="Sheet2" sheetId="15" r:id="rId5"/>
    <sheet name="観測所" sheetId="4" state="hidden" r:id="rId6"/>
    <sheet name="祝日一覧" sheetId="5" state="hidden" r:id="rId7"/>
  </sheets>
  <definedNames>
    <definedName name="_xlnm.Print_Area" localSheetId="3">【記載例】集計表記載例!$B$1:$L$45</definedName>
    <definedName name="_xlnm.Print_Area" localSheetId="1">【記載例】真夏日率算定表!$A$1:$H$26</definedName>
    <definedName name="_xlnm.Print_Area" localSheetId="2">集計表1!$B$1:$L$45</definedName>
    <definedName name="_xlnm.Print_Area" localSheetId="0">真夏日率算定表!$A$1:$H$26</definedName>
    <definedName name="祝日リスト" localSheetId="3">【記載例】集計表記載例!$O$11:$O$35</definedName>
    <definedName name="祝日リスト" localSheetId="2">集計表1!$O$11:$O$35</definedName>
    <definedName name="祝日リスト">#REF!</definedName>
  </definedNames>
  <calcPr calcId="191029"/>
</workbook>
</file>

<file path=xl/calcChain.xml><?xml version="1.0" encoding="utf-8"?>
<calcChain xmlns="http://schemas.openxmlformats.org/spreadsheetml/2006/main">
  <c r="C10" i="13" l="1"/>
  <c r="C9" i="13"/>
  <c r="C8" i="13"/>
  <c r="C7" i="13"/>
  <c r="C20" i="13"/>
  <c r="C22" i="13" s="1"/>
  <c r="C23" i="13" s="1"/>
  <c r="C8" i="3"/>
  <c r="C9" i="3"/>
  <c r="C10" i="3"/>
  <c r="C7" i="3"/>
  <c r="G44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B11" i="12"/>
  <c r="B12" i="12" s="1"/>
  <c r="O9" i="12"/>
  <c r="P28" i="12" s="1"/>
  <c r="P15" i="12" l="1"/>
  <c r="Q15" i="12" s="1"/>
  <c r="P12" i="12"/>
  <c r="P34" i="12"/>
  <c r="P35" i="12" s="1"/>
  <c r="Q35" i="12" s="1"/>
  <c r="G43" i="12"/>
  <c r="P31" i="12"/>
  <c r="D11" i="12"/>
  <c r="P19" i="12"/>
  <c r="D12" i="12"/>
  <c r="B13" i="12"/>
  <c r="P23" i="12"/>
  <c r="Q34" i="12"/>
  <c r="P11" i="12"/>
  <c r="P26" i="12"/>
  <c r="P22" i="12"/>
  <c r="Q22" i="12" s="1"/>
  <c r="P29" i="12"/>
  <c r="P32" i="12"/>
  <c r="P13" i="12"/>
  <c r="P17" i="12"/>
  <c r="P21" i="12"/>
  <c r="Q21" i="12" s="1"/>
  <c r="P25" i="12"/>
  <c r="C20" i="3"/>
  <c r="C22" i="3" s="1"/>
  <c r="C23" i="3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G44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43" i="6" s="1"/>
  <c r="G15" i="6"/>
  <c r="G14" i="6"/>
  <c r="G13" i="6"/>
  <c r="G12" i="6"/>
  <c r="G11" i="6"/>
  <c r="O9" i="6"/>
  <c r="P28" i="6" s="1"/>
  <c r="P16" i="12" l="1"/>
  <c r="Q16" i="12" s="1"/>
  <c r="Q19" i="12"/>
  <c r="P20" i="12"/>
  <c r="Q20" i="12" s="1"/>
  <c r="Q32" i="12"/>
  <c r="P33" i="12"/>
  <c r="Q33" i="12" s="1"/>
  <c r="Q29" i="12"/>
  <c r="P30" i="12"/>
  <c r="Q30" i="12" s="1"/>
  <c r="Q26" i="12"/>
  <c r="P27" i="12"/>
  <c r="Q27" i="12" s="1"/>
  <c r="Q11" i="12"/>
  <c r="Q17" i="12"/>
  <c r="P18" i="12"/>
  <c r="Q18" i="12" s="1"/>
  <c r="P24" i="12"/>
  <c r="Q24" i="12" s="1"/>
  <c r="Q23" i="12"/>
  <c r="Q13" i="12"/>
  <c r="P14" i="12"/>
  <c r="D13" i="12"/>
  <c r="B14" i="12"/>
  <c r="P34" i="6"/>
  <c r="P35" i="6" s="1"/>
  <c r="Q35" i="6" s="1"/>
  <c r="P23" i="6"/>
  <c r="P29" i="6"/>
  <c r="Q29" i="6" s="1"/>
  <c r="P12" i="6"/>
  <c r="P19" i="6"/>
  <c r="P15" i="6"/>
  <c r="D11" i="6"/>
  <c r="P31" i="6"/>
  <c r="P22" i="6"/>
  <c r="Q22" i="6" s="1"/>
  <c r="D12" i="6"/>
  <c r="P11" i="6"/>
  <c r="P26" i="6"/>
  <c r="P32" i="6"/>
  <c r="P13" i="6"/>
  <c r="P17" i="6"/>
  <c r="P21" i="6"/>
  <c r="Q21" i="6" s="1"/>
  <c r="P25" i="6"/>
  <c r="M11" i="12" l="1"/>
  <c r="B15" i="12"/>
  <c r="M14" i="12"/>
  <c r="D14" i="12"/>
  <c r="M13" i="12"/>
  <c r="Q14" i="12"/>
  <c r="M12" i="12"/>
  <c r="Q15" i="6"/>
  <c r="P16" i="6"/>
  <c r="Q16" i="6" s="1"/>
  <c r="Q34" i="6"/>
  <c r="Q19" i="6"/>
  <c r="P20" i="6"/>
  <c r="Q20" i="6" s="1"/>
  <c r="P30" i="6"/>
  <c r="Q30" i="6" s="1"/>
  <c r="Q23" i="6"/>
  <c r="P24" i="6"/>
  <c r="Q24" i="6" s="1"/>
  <c r="Q32" i="6"/>
  <c r="P33" i="6"/>
  <c r="Q33" i="6" s="1"/>
  <c r="Q26" i="6"/>
  <c r="P27" i="6"/>
  <c r="Q27" i="6" s="1"/>
  <c r="Q11" i="6"/>
  <c r="D13" i="6"/>
  <c r="Q17" i="6"/>
  <c r="P18" i="6"/>
  <c r="Q18" i="6" s="1"/>
  <c r="Q13" i="6"/>
  <c r="P14" i="6"/>
  <c r="Q14" i="6" s="1"/>
  <c r="D15" i="12" l="1"/>
  <c r="B16" i="12"/>
  <c r="M15" i="12"/>
  <c r="M13" i="6"/>
  <c r="M12" i="6"/>
  <c r="M11" i="6"/>
  <c r="M14" i="6"/>
  <c r="D14" i="6"/>
  <c r="M16" i="12" l="1"/>
  <c r="D16" i="12"/>
  <c r="B17" i="12"/>
  <c r="D15" i="6"/>
  <c r="M15" i="6"/>
  <c r="M17" i="12" l="1"/>
  <c r="D17" i="12"/>
  <c r="B18" i="12"/>
  <c r="M16" i="6"/>
  <c r="D16" i="6"/>
  <c r="B19" i="12" l="1"/>
  <c r="M18" i="12"/>
  <c r="D18" i="12"/>
  <c r="M17" i="6"/>
  <c r="D17" i="6"/>
  <c r="D19" i="12" l="1"/>
  <c r="B20" i="12"/>
  <c r="M19" i="12"/>
  <c r="D18" i="6"/>
  <c r="M18" i="6"/>
  <c r="M20" i="12" l="1"/>
  <c r="D20" i="12"/>
  <c r="B21" i="12"/>
  <c r="D19" i="6"/>
  <c r="M19" i="6"/>
  <c r="M21" i="12" l="1"/>
  <c r="D21" i="12"/>
  <c r="B22" i="12"/>
  <c r="M20" i="6"/>
  <c r="D20" i="6"/>
  <c r="B23" i="12" l="1"/>
  <c r="D22" i="12"/>
  <c r="M22" i="12"/>
  <c r="M21" i="6"/>
  <c r="D21" i="6"/>
  <c r="D23" i="12" l="1"/>
  <c r="B24" i="12"/>
  <c r="M23" i="12"/>
  <c r="D22" i="6"/>
  <c r="M22" i="6"/>
  <c r="M24" i="12" l="1"/>
  <c r="D24" i="12"/>
  <c r="B25" i="12"/>
  <c r="D23" i="6"/>
  <c r="M23" i="6"/>
  <c r="B26" i="12" l="1"/>
  <c r="M25" i="12"/>
  <c r="D25" i="12"/>
  <c r="M24" i="6"/>
  <c r="D24" i="6"/>
  <c r="B27" i="12" l="1"/>
  <c r="M26" i="12"/>
  <c r="D26" i="12"/>
  <c r="M25" i="6"/>
  <c r="D25" i="6"/>
  <c r="D27" i="12" l="1"/>
  <c r="M27" i="12"/>
  <c r="B28" i="12"/>
  <c r="M26" i="6"/>
  <c r="D26" i="6"/>
  <c r="M28" i="12" l="1"/>
  <c r="D28" i="12"/>
  <c r="B29" i="12"/>
  <c r="D27" i="6"/>
  <c r="M27" i="6"/>
  <c r="B30" i="12" l="1"/>
  <c r="D29" i="12"/>
  <c r="M29" i="12"/>
  <c r="M28" i="6"/>
  <c r="D28" i="6"/>
  <c r="D30" i="12" l="1"/>
  <c r="B31" i="12"/>
  <c r="M30" i="12"/>
  <c r="D29" i="6"/>
  <c r="M29" i="6"/>
  <c r="M31" i="12" l="1"/>
  <c r="D31" i="12"/>
  <c r="B32" i="12"/>
  <c r="D30" i="6"/>
  <c r="M30" i="6"/>
  <c r="B33" i="12" l="1"/>
  <c r="M32" i="12"/>
  <c r="D32" i="12"/>
  <c r="M31" i="6"/>
  <c r="D31" i="6"/>
  <c r="D33" i="12" l="1"/>
  <c r="B34" i="12"/>
  <c r="M33" i="12"/>
  <c r="M32" i="6"/>
  <c r="D32" i="6"/>
  <c r="M34" i="12" l="1"/>
  <c r="D34" i="12"/>
  <c r="B35" i="12"/>
  <c r="D33" i="6"/>
  <c r="M33" i="6"/>
  <c r="M35" i="12" l="1"/>
  <c r="B36" i="12"/>
  <c r="D35" i="12"/>
  <c r="D34" i="6"/>
  <c r="M34" i="6"/>
  <c r="B37" i="12" l="1"/>
  <c r="M36" i="12"/>
  <c r="D36" i="12"/>
  <c r="M35" i="6"/>
  <c r="D35" i="6"/>
  <c r="M37" i="12" l="1"/>
  <c r="D37" i="12"/>
  <c r="B38" i="12"/>
  <c r="M36" i="6"/>
  <c r="D36" i="6"/>
  <c r="B39" i="12" l="1"/>
  <c r="M38" i="12"/>
  <c r="D38" i="12"/>
  <c r="D37" i="6"/>
  <c r="M37" i="6"/>
  <c r="D39" i="12" l="1"/>
  <c r="M39" i="12"/>
  <c r="B40" i="12"/>
  <c r="M38" i="6"/>
  <c r="D38" i="6"/>
  <c r="B41" i="12" l="1"/>
  <c r="M40" i="12"/>
  <c r="D40" i="12"/>
  <c r="D39" i="6"/>
  <c r="M39" i="6"/>
  <c r="M41" i="12" l="1"/>
  <c r="D41" i="12"/>
  <c r="M40" i="6"/>
  <c r="D40" i="6"/>
  <c r="M41" i="6" l="1"/>
  <c r="D41" i="6"/>
</calcChain>
</file>

<file path=xl/sharedStrings.xml><?xml version="1.0" encoding="utf-8"?>
<sst xmlns="http://schemas.openxmlformats.org/spreadsheetml/2006/main" count="244" uniqueCount="115">
  <si>
    <t>　真夏日日数集計表</t>
    <rPh sb="1" eb="4">
      <t>マナツビ</t>
    </rPh>
    <rPh sb="4" eb="6">
      <t>ニッスウ</t>
    </rPh>
    <rPh sb="6" eb="8">
      <t>シュウケイ</t>
    </rPh>
    <rPh sb="8" eb="9">
      <t>ヒョウ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</si>
  <si>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</si>
  <si>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</si>
  <si>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工事番号</t>
    <rPh sb="0" eb="2">
      <t>コウジ</t>
    </rPh>
    <rPh sb="2" eb="4">
      <t>バンゴウ</t>
    </rPh>
    <phoneticPr fontId="2"/>
  </si>
  <si>
    <t>観測所名</t>
    <rPh sb="0" eb="3">
      <t>カンソクジョ</t>
    </rPh>
    <rPh sb="3" eb="4">
      <t>メイ</t>
    </rPh>
    <phoneticPr fontId="2"/>
  </si>
  <si>
    <t>間人</t>
    <rPh sb="0" eb="2">
      <t>タイザ</t>
    </rPh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</si>
  <si>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</si>
  <si>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</si>
  <si>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日最高気温
[℃]</t>
    <phoneticPr fontId="2"/>
  </si>
  <si>
    <t>暑さ指数（WBGT）
[℃]</t>
    <rPh sb="0" eb="1">
      <t>アツ</t>
    </rPh>
    <rPh sb="2" eb="4">
      <t>シスウ</t>
    </rPh>
    <phoneticPr fontId="2"/>
  </si>
  <si>
    <t>真夏日判定</t>
    <rPh sb="0" eb="3">
      <t>マナツビ</t>
    </rPh>
    <rPh sb="3" eb="5">
      <t>ハンテイ</t>
    </rPh>
    <phoneticPr fontId="2"/>
  </si>
  <si>
    <t>備考</t>
    <rPh sb="0" eb="2">
      <t>ビコウ</t>
    </rPh>
    <phoneticPr fontId="2"/>
  </si>
  <si>
    <t>祝日</t>
    <rPh sb="0" eb="2">
      <t>シュクジツ</t>
    </rPh>
    <phoneticPr fontId="2"/>
  </si>
  <si>
    <t>真夏日率等算定表</t>
    <rPh sb="0" eb="3">
      <t>マナツビ</t>
    </rPh>
    <rPh sb="3" eb="4">
      <t>リツ</t>
    </rPh>
    <rPh sb="4" eb="5">
      <t>トウ</t>
    </rPh>
    <rPh sb="5" eb="7">
      <t>サンテイ</t>
    </rPh>
    <rPh sb="7" eb="8">
      <t>ヒョウ</t>
    </rPh>
    <phoneticPr fontId="2"/>
  </si>
  <si>
    <t>工事番号：</t>
    <rPh sb="0" eb="2">
      <t>コウジ</t>
    </rPh>
    <rPh sb="2" eb="4">
      <t>バンゴウ</t>
    </rPh>
    <phoneticPr fontId="2"/>
  </si>
  <si>
    <t>　熱中症対策に資する現場管理費の補正の試行要領に基づき、真夏日率等を下記のとおり算出したので、提出します。</t>
    <rPh sb="24" eb="25">
      <t>モト</t>
    </rPh>
    <rPh sb="28" eb="31">
      <t>マナツビ</t>
    </rPh>
    <rPh sb="31" eb="32">
      <t>リツ</t>
    </rPh>
    <rPh sb="32" eb="33">
      <t>トウ</t>
    </rPh>
    <rPh sb="34" eb="36">
      <t>カキ</t>
    </rPh>
    <rPh sb="40" eb="42">
      <t>サンシュツ</t>
    </rPh>
    <rPh sb="47" eb="49">
      <t>テイシュツ</t>
    </rPh>
    <phoneticPr fontId="2"/>
  </si>
  <si>
    <t>除外日数</t>
    <rPh sb="0" eb="2">
      <t>ジョガイ</t>
    </rPh>
    <rPh sb="2" eb="4">
      <t>ニッスウ</t>
    </rPh>
    <phoneticPr fontId="2"/>
  </si>
  <si>
    <t>日</t>
    <rPh sb="0" eb="1">
      <t>ニチ</t>
    </rPh>
    <phoneticPr fontId="2"/>
  </si>
  <si>
    <t>真夏日率</t>
    <rPh sb="0" eb="3">
      <t>マナツビ</t>
    </rPh>
    <rPh sb="3" eb="4">
      <t>リツ</t>
    </rPh>
    <phoneticPr fontId="2"/>
  </si>
  <si>
    <t>補正値</t>
    <rPh sb="0" eb="3">
      <t>ホセイチ</t>
    </rPh>
    <phoneticPr fontId="2"/>
  </si>
  <si>
    <t>％</t>
    <phoneticPr fontId="2"/>
  </si>
  <si>
    <t>宮津</t>
    <rPh sb="0" eb="2">
      <t>ミヤヅ</t>
    </rPh>
    <phoneticPr fontId="2"/>
  </si>
  <si>
    <t>舞鶴</t>
    <rPh sb="0" eb="2">
      <t>マイヅル</t>
    </rPh>
    <phoneticPr fontId="2"/>
  </si>
  <si>
    <t>福知山</t>
    <rPh sb="0" eb="3">
      <t>フクチヤマ</t>
    </rPh>
    <phoneticPr fontId="2"/>
  </si>
  <si>
    <t>美山</t>
    <rPh sb="0" eb="2">
      <t>ミヤマ</t>
    </rPh>
    <phoneticPr fontId="2"/>
  </si>
  <si>
    <t>園部</t>
    <rPh sb="0" eb="2">
      <t>ソノベ</t>
    </rPh>
    <phoneticPr fontId="2"/>
  </si>
  <si>
    <t>京都</t>
    <rPh sb="0" eb="2">
      <t>キョウト</t>
    </rPh>
    <phoneticPr fontId="2"/>
  </si>
  <si>
    <t>京田辺</t>
    <rPh sb="0" eb="3">
      <t>キョウタナベ</t>
    </rPh>
    <phoneticPr fontId="2"/>
  </si>
  <si>
    <t>2020年度祝日一覧</t>
    <rPh sb="4" eb="6">
      <t>ネンド</t>
    </rPh>
    <rPh sb="6" eb="8">
      <t>シュクジツ</t>
    </rPh>
    <rPh sb="8" eb="10">
      <t>イチラン</t>
    </rPh>
    <phoneticPr fontId="2"/>
  </si>
  <si>
    <t>水</t>
  </si>
  <si>
    <t>昭和の日</t>
  </si>
  <si>
    <t>日</t>
  </si>
  <si>
    <t>憲法記念日</t>
  </si>
  <si>
    <t>月</t>
  </si>
  <si>
    <t>みどりの日</t>
  </si>
  <si>
    <t>火</t>
  </si>
  <si>
    <t>こどもの日</t>
  </si>
  <si>
    <t>振替休日</t>
  </si>
  <si>
    <t>木</t>
  </si>
  <si>
    <t>海の日</t>
  </si>
  <si>
    <t>金</t>
  </si>
  <si>
    <t>スポーツの日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</si>
  <si>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</si>
  <si>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</si>
  <si>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</si>
  <si>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</si>
  <si>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</si>
  <si>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</si>
  <si>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</si>
  <si>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</si>
  <si>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</si>
  <si>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土</t>
  </si>
  <si>
    <t>春分の日</t>
  </si>
  <si>
    <t>2021年度祝日一覧</t>
    <rPh sb="4" eb="6">
      <t>ネンド</t>
    </rPh>
    <rPh sb="6" eb="8">
      <t>シュクジツ</t>
    </rPh>
    <rPh sb="8" eb="10">
      <t>イチラン</t>
    </rPh>
    <phoneticPr fontId="2"/>
  </si>
  <si>
    <t>名称</t>
    <rPh sb="0" eb="2">
      <t>メイショウ</t>
    </rPh>
    <phoneticPr fontId="12"/>
  </si>
  <si>
    <t>日付</t>
    <rPh sb="0" eb="2">
      <t>ヒヅケ</t>
    </rPh>
    <phoneticPr fontId="12"/>
  </si>
  <si>
    <t>元日</t>
    <rPh sb="0" eb="2">
      <t>ガンジツ</t>
    </rPh>
    <phoneticPr fontId="12"/>
  </si>
  <si>
    <t>成人の日</t>
    <rPh sb="0" eb="2">
      <t>セイジン</t>
    </rPh>
    <rPh sb="3" eb="4">
      <t>ヒ</t>
    </rPh>
    <phoneticPr fontId="12"/>
  </si>
  <si>
    <t>第２月曜日</t>
    <rPh sb="0" eb="1">
      <t>ダイ</t>
    </rPh>
    <rPh sb="2" eb="5">
      <t>ゲツヨウビ</t>
    </rPh>
    <phoneticPr fontId="12"/>
  </si>
  <si>
    <t>建国記念の日</t>
    <rPh sb="0" eb="2">
      <t>ケンコク</t>
    </rPh>
    <rPh sb="2" eb="4">
      <t>キネン</t>
    </rPh>
    <rPh sb="5" eb="6">
      <t>ヒ</t>
    </rPh>
    <phoneticPr fontId="12"/>
  </si>
  <si>
    <t>天皇誕生日</t>
    <rPh sb="0" eb="2">
      <t>テンノウ</t>
    </rPh>
    <rPh sb="2" eb="5">
      <t>タンジョウビ</t>
    </rPh>
    <phoneticPr fontId="12"/>
  </si>
  <si>
    <t>春分の日</t>
    <rPh sb="0" eb="2">
      <t>シュンブン</t>
    </rPh>
    <rPh sb="3" eb="4">
      <t>ヒ</t>
    </rPh>
    <phoneticPr fontId="12"/>
  </si>
  <si>
    <t>昭和の日</t>
    <rPh sb="0" eb="2">
      <t>ショウワ</t>
    </rPh>
    <rPh sb="3" eb="4">
      <t>ヒ</t>
    </rPh>
    <phoneticPr fontId="12"/>
  </si>
  <si>
    <t>憲法記念日</t>
    <rPh sb="0" eb="2">
      <t>ケンポウ</t>
    </rPh>
    <rPh sb="2" eb="5">
      <t>キネンビ</t>
    </rPh>
    <phoneticPr fontId="12"/>
  </si>
  <si>
    <t>みどりの日</t>
    <rPh sb="4" eb="5">
      <t>ヒ</t>
    </rPh>
    <phoneticPr fontId="12"/>
  </si>
  <si>
    <t>こどもの日</t>
    <rPh sb="4" eb="5">
      <t>ヒ</t>
    </rPh>
    <phoneticPr fontId="12"/>
  </si>
  <si>
    <t>海の日</t>
    <rPh sb="0" eb="1">
      <t>ウミ</t>
    </rPh>
    <rPh sb="2" eb="3">
      <t>ヒ</t>
    </rPh>
    <phoneticPr fontId="12"/>
  </si>
  <si>
    <t>第３月曜日</t>
    <rPh sb="0" eb="1">
      <t>ダイ</t>
    </rPh>
    <rPh sb="2" eb="5">
      <t>ゲツヨウビ</t>
    </rPh>
    <phoneticPr fontId="12"/>
  </si>
  <si>
    <t>山の日</t>
    <rPh sb="0" eb="1">
      <t>ヤマ</t>
    </rPh>
    <rPh sb="2" eb="3">
      <t>ヒ</t>
    </rPh>
    <phoneticPr fontId="12"/>
  </si>
  <si>
    <t>敬老の日</t>
    <rPh sb="0" eb="2">
      <t>ケイロウ</t>
    </rPh>
    <rPh sb="3" eb="4">
      <t>ヒ</t>
    </rPh>
    <phoneticPr fontId="12"/>
  </si>
  <si>
    <t>秋分の日</t>
    <rPh sb="0" eb="2">
      <t>シュウブン</t>
    </rPh>
    <rPh sb="3" eb="4">
      <t>ヒ</t>
    </rPh>
    <phoneticPr fontId="12"/>
  </si>
  <si>
    <t>スポーツの日</t>
    <rPh sb="5" eb="6">
      <t>ヒ</t>
    </rPh>
    <phoneticPr fontId="12"/>
  </si>
  <si>
    <t>文化の日</t>
    <rPh sb="0" eb="2">
      <t>ブンカ</t>
    </rPh>
    <rPh sb="3" eb="4">
      <t>ヒ</t>
    </rPh>
    <phoneticPr fontId="12"/>
  </si>
  <si>
    <t>勤労感謝の日</t>
    <rPh sb="0" eb="2">
      <t>キンロウ</t>
    </rPh>
    <rPh sb="2" eb="4">
      <t>カンシャ</t>
    </rPh>
    <rPh sb="5" eb="6">
      <t>ヒ</t>
    </rPh>
    <phoneticPr fontId="12"/>
  </si>
  <si>
    <t>年の祝日一覧【参考】</t>
    <rPh sb="0" eb="1">
      <t>ネン</t>
    </rPh>
    <rPh sb="2" eb="4">
      <t>シュクジツ</t>
    </rPh>
    <rPh sb="4" eb="6">
      <t>イチラン</t>
    </rPh>
    <rPh sb="7" eb="9">
      <t>サンコウ</t>
    </rPh>
    <phoneticPr fontId="2"/>
  </si>
  <si>
    <t>休工日等</t>
    <rPh sb="0" eb="2">
      <t>キュウコウ</t>
    </rPh>
    <rPh sb="2" eb="3">
      <t>ビ</t>
    </rPh>
    <rPh sb="3" eb="4">
      <t>トウ</t>
    </rPh>
    <phoneticPr fontId="2"/>
  </si>
  <si>
    <t>夏季休暇</t>
  </si>
  <si>
    <t>休工日</t>
  </si>
  <si>
    <t>工 事 名：</t>
    <rPh sb="0" eb="1">
      <t>コウ</t>
    </rPh>
    <rPh sb="2" eb="3">
      <t>コト</t>
    </rPh>
    <rPh sb="4" eb="5">
      <t>メイ</t>
    </rPh>
    <phoneticPr fontId="2"/>
  </si>
  <si>
    <t>受注者名：</t>
    <rPh sb="0" eb="3">
      <t>ジュチュウシャ</t>
    </rPh>
    <rPh sb="3" eb="4">
      <t>メイ</t>
    </rPh>
    <phoneticPr fontId="2"/>
  </si>
  <si>
    <t>観測所名：</t>
    <rPh sb="0" eb="3">
      <t>カンソクジョ</t>
    </rPh>
    <rPh sb="3" eb="4">
      <t>メイ</t>
    </rPh>
    <phoneticPr fontId="2"/>
  </si>
  <si>
    <t>工事の始期</t>
    <rPh sb="0" eb="2">
      <t>コウジ</t>
    </rPh>
    <rPh sb="3" eb="5">
      <t>シキ</t>
    </rPh>
    <phoneticPr fontId="2"/>
  </si>
  <si>
    <t>工事の終期</t>
    <rPh sb="0" eb="2">
      <t>コウジ</t>
    </rPh>
    <rPh sb="3" eb="5">
      <t>シュウキ</t>
    </rPh>
    <phoneticPr fontId="2"/>
  </si>
  <si>
    <t>年末年始6日、夏期休暇3日
工場製作、全体中止期間等</t>
    <rPh sb="0" eb="2">
      <t>ネンマツ</t>
    </rPh>
    <rPh sb="2" eb="4">
      <t>ネンシ</t>
    </rPh>
    <rPh sb="5" eb="6">
      <t>ニチ</t>
    </rPh>
    <rPh sb="7" eb="9">
      <t>カキ</t>
    </rPh>
    <rPh sb="9" eb="11">
      <t>キュウカ</t>
    </rPh>
    <rPh sb="12" eb="13">
      <t>ニチ</t>
    </rPh>
    <rPh sb="14" eb="16">
      <t>コウジョウ</t>
    </rPh>
    <rPh sb="16" eb="18">
      <t>セイサク</t>
    </rPh>
    <rPh sb="19" eb="21">
      <t>ゼンタイ</t>
    </rPh>
    <rPh sb="21" eb="23">
      <t>チュウシ</t>
    </rPh>
    <rPh sb="23" eb="25">
      <t>キカン</t>
    </rPh>
    <rPh sb="25" eb="26">
      <t>トウ</t>
    </rPh>
    <phoneticPr fontId="2"/>
  </si>
  <si>
    <t>真夏日率×1.2
（少数点以下３位を四捨五入）</t>
    <rPh sb="0" eb="3">
      <t>マナツビ</t>
    </rPh>
    <rPh sb="3" eb="4">
      <t>リツ</t>
    </rPh>
    <rPh sb="12" eb="13">
      <t>テン</t>
    </rPh>
    <rPh sb="13" eb="15">
      <t>イカ</t>
    </rPh>
    <rPh sb="16" eb="17">
      <t>イ</t>
    </rPh>
    <rPh sb="18" eb="22">
      <t>シシャゴニュウ</t>
    </rPh>
    <phoneticPr fontId="2"/>
  </si>
  <si>
    <t>準備工（測量や看板設置など）など現場での作業を開始する日</t>
    <rPh sb="0" eb="2">
      <t>ジュンビ</t>
    </rPh>
    <rPh sb="2" eb="3">
      <t>コウ</t>
    </rPh>
    <rPh sb="4" eb="6">
      <t>ソクリョウ</t>
    </rPh>
    <rPh sb="7" eb="9">
      <t>カンバン</t>
    </rPh>
    <rPh sb="9" eb="11">
      <t>セッチ</t>
    </rPh>
    <rPh sb="16" eb="18">
      <t>ゲンバ</t>
    </rPh>
    <rPh sb="20" eb="22">
      <t>サギョウ</t>
    </rPh>
    <rPh sb="23" eb="25">
      <t>カイシ</t>
    </rPh>
    <rPh sb="27" eb="28">
      <t>ヒ</t>
    </rPh>
    <phoneticPr fontId="2"/>
  </si>
  <si>
    <t>休工日除く</t>
    <rPh sb="0" eb="1">
      <t>キュウ</t>
    </rPh>
    <rPh sb="2" eb="3">
      <t>ヒ</t>
    </rPh>
    <rPh sb="3" eb="4">
      <t>ノゾ</t>
    </rPh>
    <phoneticPr fontId="2"/>
  </si>
  <si>
    <t>←各月の集計表の真夏日日数を合計する</t>
    <rPh sb="1" eb="3">
      <t>カクツキ</t>
    </rPh>
    <rPh sb="4" eb="7">
      <t>シュウケイヒョウ</t>
    </rPh>
    <rPh sb="8" eb="11">
      <t>マナツビ</t>
    </rPh>
    <rPh sb="11" eb="13">
      <t>ニッスウ</t>
    </rPh>
    <rPh sb="14" eb="16">
      <t>ゴウケイ</t>
    </rPh>
    <phoneticPr fontId="2"/>
  </si>
  <si>
    <t>←自動計算</t>
    <rPh sb="1" eb="3">
      <t>ジドウ</t>
    </rPh>
    <rPh sb="3" eb="5">
      <t>ケイサン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</si>
  <si>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</si>
  <si>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現場作業が終了した日</t>
    <rPh sb="0" eb="2">
      <t>ゲンバ</t>
    </rPh>
    <rPh sb="2" eb="4">
      <t>サギョウ</t>
    </rPh>
    <rPh sb="5" eb="7">
      <t>シュウリョウ</t>
    </rPh>
    <rPh sb="9" eb="10">
      <t>ヒ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</si>
  <si>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</si>
  <si>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受 注 者</t>
    <rPh sb="0" eb="1">
      <t>ジュ</t>
    </rPh>
    <rPh sb="2" eb="3">
      <t>チュウ</t>
    </rPh>
    <rPh sb="4" eb="5">
      <t>モノ</t>
    </rPh>
    <phoneticPr fontId="2"/>
  </si>
  <si>
    <t>真夏日日数（月）：</t>
    <rPh sb="0" eb="3">
      <t>マナツビ</t>
    </rPh>
    <rPh sb="3" eb="5">
      <t>ニッスウ</t>
    </rPh>
    <rPh sb="6" eb="7">
      <t>ツキ</t>
    </rPh>
    <phoneticPr fontId="2"/>
  </si>
  <si>
    <t>工事の終期</t>
    <rPh sb="0" eb="2">
      <t>コウジ</t>
    </rPh>
    <rPh sb="3" eb="5">
      <t>シュウキ</t>
    </rPh>
    <phoneticPr fontId="2"/>
  </si>
  <si>
    <t>第〇〇〇〇〇〇〇号</t>
    <rPh sb="0" eb="1">
      <t>ダイ</t>
    </rPh>
    <rPh sb="8" eb="9">
      <t>ゴウ</t>
    </rPh>
    <phoneticPr fontId="2"/>
  </si>
  <si>
    <t>〇〇〇〇〇〇〇工事</t>
    <rPh sb="7" eb="9">
      <t>コウジ</t>
    </rPh>
    <phoneticPr fontId="2"/>
  </si>
  <si>
    <t>㈱〇〇〇〇建設</t>
    <rPh sb="5" eb="7">
      <t>ケンセツ</t>
    </rPh>
    <phoneticPr fontId="2"/>
  </si>
  <si>
    <t>和歌山</t>
  </si>
  <si>
    <t>　　〇〇〇〇年〇月〇日</t>
    <rPh sb="6" eb="7">
      <t>ネン</t>
    </rPh>
    <rPh sb="8" eb="9">
      <t>ツキ</t>
    </rPh>
    <rPh sb="10" eb="11">
      <t>ニチ</t>
    </rPh>
    <phoneticPr fontId="2"/>
  </si>
  <si>
    <t>真夏日
60日</t>
    <rPh sb="0" eb="3">
      <t>マナツビ</t>
    </rPh>
    <rPh sb="6" eb="7">
      <t>ニチ</t>
    </rPh>
    <phoneticPr fontId="2"/>
  </si>
  <si>
    <t>休工日
60日</t>
    <rPh sb="0" eb="2">
      <t>キュウコウ</t>
    </rPh>
    <rPh sb="2" eb="3">
      <t>ビ</t>
    </rPh>
    <rPh sb="6" eb="7">
      <t>ニチ</t>
    </rPh>
    <phoneticPr fontId="2"/>
  </si>
  <si>
    <t>真夏日以外
80日</t>
    <rPh sb="0" eb="3">
      <t>マナツビ</t>
    </rPh>
    <rPh sb="3" eb="5">
      <t>イガイ</t>
    </rPh>
    <rPh sb="8" eb="9">
      <t>ニチ</t>
    </rPh>
    <phoneticPr fontId="2"/>
  </si>
  <si>
    <t xml:space="preserve"> 契約日</t>
    <rPh sb="1" eb="4">
      <t>ケイヤクビ</t>
    </rPh>
    <phoneticPr fontId="2"/>
  </si>
  <si>
    <t xml:space="preserve"> 現場着手日</t>
    <rPh sb="1" eb="3">
      <t>ゲンバ</t>
    </rPh>
    <rPh sb="3" eb="5">
      <t>チャクシュ</t>
    </rPh>
    <rPh sb="5" eb="6">
      <t>ビ</t>
    </rPh>
    <phoneticPr fontId="2"/>
  </si>
  <si>
    <t>対象期間200日
(年末年始、夏季休暇、工場製作、一時中止等除く）</t>
    <rPh sb="0" eb="2">
      <t>タイショウ</t>
    </rPh>
    <rPh sb="2" eb="4">
      <t>キカン</t>
    </rPh>
    <rPh sb="7" eb="8">
      <t>ニチ</t>
    </rPh>
    <rPh sb="10" eb="12">
      <t>ネンマツ</t>
    </rPh>
    <rPh sb="12" eb="14">
      <t>ネンシ</t>
    </rPh>
    <rPh sb="15" eb="17">
      <t>カキ</t>
    </rPh>
    <rPh sb="17" eb="19">
      <t>キュウカ</t>
    </rPh>
    <rPh sb="20" eb="22">
      <t>コウジョウ</t>
    </rPh>
    <rPh sb="22" eb="24">
      <t>セイサク</t>
    </rPh>
    <rPh sb="25" eb="27">
      <t>イチジ</t>
    </rPh>
    <rPh sb="27" eb="29">
      <t>チュウシ</t>
    </rPh>
    <rPh sb="29" eb="30">
      <t>トウ</t>
    </rPh>
    <rPh sb="30" eb="31">
      <t>ノゾ</t>
    </rPh>
    <phoneticPr fontId="2"/>
  </si>
  <si>
    <t xml:space="preserve"> 現場作業
 終了日</t>
    <rPh sb="1" eb="3">
      <t>ゲンバ</t>
    </rPh>
    <rPh sb="3" eb="5">
      <t>サギョウ</t>
    </rPh>
    <rPh sb="7" eb="10">
      <t>シュウリョウビ</t>
    </rPh>
    <phoneticPr fontId="2"/>
  </si>
  <si>
    <t xml:space="preserve"> 工期末</t>
    <rPh sb="1" eb="3">
      <t>コウキ</t>
    </rPh>
    <rPh sb="3" eb="4">
      <t>マツ</t>
    </rPh>
    <phoneticPr fontId="2"/>
  </si>
  <si>
    <t>対象期間</t>
    <rPh sb="0" eb="2">
      <t>タイショウ</t>
    </rPh>
    <rPh sb="2" eb="4">
      <t>キカン</t>
    </rPh>
    <phoneticPr fontId="2"/>
  </si>
  <si>
    <t>対象期間中の真夏日</t>
    <rPh sb="0" eb="2">
      <t>タイショウ</t>
    </rPh>
    <rPh sb="2" eb="5">
      <t>キカンチュウ</t>
    </rPh>
    <rPh sb="6" eb="9">
      <t>マナツビ</t>
    </rPh>
    <phoneticPr fontId="2"/>
  </si>
  <si>
    <t>対象期間中の真夏日÷対象期間
（小数点以下３位を四捨五入）</t>
    <rPh sb="0" eb="2">
      <t>タイショウ</t>
    </rPh>
    <rPh sb="2" eb="5">
      <t>キカンチュウ</t>
    </rPh>
    <rPh sb="6" eb="9">
      <t>マナツビ</t>
    </rPh>
    <rPh sb="10" eb="12">
      <t>タイショウ</t>
    </rPh>
    <rPh sb="12" eb="14">
      <t>キカン</t>
    </rPh>
    <rPh sb="16" eb="19">
      <t>ショウスウテン</t>
    </rPh>
    <rPh sb="19" eb="21">
      <t>イカ</t>
    </rPh>
    <rPh sb="22" eb="23">
      <t>イ</t>
    </rPh>
    <rPh sb="24" eb="28">
      <t>シシャゴニュウ</t>
    </rPh>
    <phoneticPr fontId="2"/>
  </si>
  <si>
    <t>対象期間（月）：</t>
    <rPh sb="0" eb="2">
      <t>タイショウ</t>
    </rPh>
    <rPh sb="2" eb="4">
      <t>キカン</t>
    </rPh>
    <rPh sb="5" eb="6">
      <t>ツキ</t>
    </rPh>
    <phoneticPr fontId="2"/>
  </si>
  <si>
    <t>対象期間
算出</t>
    <rPh sb="0" eb="2">
      <t>タイショウ</t>
    </rPh>
    <rPh sb="2" eb="4">
      <t>キカン</t>
    </rPh>
    <rPh sb="5" eb="7">
      <t>サンシュツ</t>
    </rPh>
    <phoneticPr fontId="2"/>
  </si>
  <si>
    <t>※必要な月数分コピーして使用してください</t>
    <rPh sb="1" eb="3">
      <t>ヒツヨウ</t>
    </rPh>
    <rPh sb="4" eb="6">
      <t>ツキスウ</t>
    </rPh>
    <rPh sb="6" eb="7">
      <t>ブン</t>
    </rPh>
    <rPh sb="12" eb="14">
      <t>シヨウ</t>
    </rPh>
    <phoneticPr fontId="2"/>
  </si>
  <si>
    <t>【参考様式】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</si>
</sst>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#&quot;日&quot;"/>
    <numFmt numFmtId="178" formatCode="yyyy/m/d&quot;(&quot;aaa&quot;)&quot;"/>
    <numFmt numFmtId="179" formatCode="aaa"/>
    <numFmt numFmtId="180" formatCode="0.0"/>
    <numFmt numFmtId="181" formatCode="#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HG丸ｺﾞｼｯｸM-PRO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FF6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rgb="FF000000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right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>
      <alignment vertical="center"/>
    </xf>
    <xf numFmtId="0" fontId="0" fillId="0" borderId="3" xfId="0" applyBorder="1">
      <alignment vertical="center"/>
    </xf>
    <xf numFmtId="14" fontId="9" fillId="2" borderId="26" xfId="0" applyNumberFormat="1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5" borderId="22" xfId="0" applyFont="1" applyFill="1" applyBorder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80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80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80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44" xfId="0" applyFont="1" applyBorder="1">
      <alignment vertical="center"/>
    </xf>
    <xf numFmtId="0" fontId="15" fillId="0" borderId="0" xfId="0" applyFont="1">
      <alignment vertical="center"/>
    </xf>
    <xf numFmtId="0" fontId="14" fillId="8" borderId="0" xfId="0" applyFont="1" applyFill="1">
      <alignment vertical="center"/>
    </xf>
    <xf numFmtId="0" fontId="14" fillId="8" borderId="47" xfId="0" applyFont="1" applyFill="1" applyBorder="1">
      <alignment vertical="center"/>
    </xf>
    <xf numFmtId="0" fontId="14" fillId="8" borderId="48" xfId="0" applyFont="1" applyFill="1" applyBorder="1">
      <alignment vertical="center"/>
    </xf>
    <xf numFmtId="0" fontId="14" fillId="0" borderId="54" xfId="0" applyFont="1" applyBorder="1">
      <alignment vertical="center"/>
    </xf>
    <xf numFmtId="0" fontId="14" fillId="8" borderId="49" xfId="0" applyFont="1" applyFill="1" applyBorder="1">
      <alignment vertical="center"/>
    </xf>
    <xf numFmtId="0" fontId="14" fillId="8" borderId="50" xfId="0" applyFont="1" applyFill="1" applyBorder="1">
      <alignment vertical="center"/>
    </xf>
    <xf numFmtId="0" fontId="14" fillId="0" borderId="52" xfId="0" applyFont="1" applyBorder="1">
      <alignment vertical="center"/>
    </xf>
    <xf numFmtId="0" fontId="14" fillId="0" borderId="50" xfId="0" applyFont="1" applyBorder="1">
      <alignment vertical="center"/>
    </xf>
    <xf numFmtId="0" fontId="14" fillId="8" borderId="51" xfId="0" applyFont="1" applyFill="1" applyBorder="1">
      <alignment vertical="center"/>
    </xf>
    <xf numFmtId="0" fontId="14" fillId="8" borderId="52" xfId="0" applyFont="1" applyFill="1" applyBorder="1">
      <alignment vertical="center"/>
    </xf>
    <xf numFmtId="0" fontId="14" fillId="8" borderId="53" xfId="0" applyFont="1" applyFill="1" applyBorder="1">
      <alignment vertical="center"/>
    </xf>
    <xf numFmtId="0" fontId="4" fillId="5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5" borderId="1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81" fontId="0" fillId="5" borderId="0" xfId="0" applyNumberForma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/>
    </xf>
    <xf numFmtId="177" fontId="13" fillId="0" borderId="0" xfId="0" applyNumberFormat="1" applyFont="1" applyAlignment="1">
      <alignment horizontal="right"/>
    </xf>
    <xf numFmtId="0" fontId="14" fillId="9" borderId="45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10" borderId="45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46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horizontal="center" vertical="center"/>
    </xf>
    <xf numFmtId="0" fontId="14" fillId="7" borderId="45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24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8" fillId="0" borderId="25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0" fillId="0" borderId="0" xfId="0" applyAlignment="1">
      <alignment horizontal="right" vertical="top"/>
    </xf>
  </cellXfs>
  <cellStyles count="1">
    <cellStyle name="標準" xfId="0" builtinId="0"/>
  </cellStyles>
  <dxfs count="60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9"/>
      </font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9"/>
      </font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9"/>
      </font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9"/>
      </font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9"/>
      </font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9"/>
      </font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colors>
    <mruColors>
      <color rgb="FF66FF66"/>
      <color rgb="FFFF3300"/>
      <color rgb="FFFF0000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68035</xdr:colOff>
      <xdr:row>0</xdr:row>
      <xdr:rowOff>54428</xdr:rowOff>
    </xdr:from>
    <xdr:to>
      <xdr:col>11</xdr:col>
      <xdr:colOff>421821</xdr:colOff>
      <xdr:row>1</xdr:row>
      <xdr:rowOff>168890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E1B6A2-3723-4495-A0EB-5B3F0286D4CD}"/>
            </a:ext>
          </a:extLst>
        </xdr:cNvPr>
        <xdr:cNvSpPr txBox="1"/>
      </xdr:nvSpPr>
      <xdr:spPr>
        <a:xfrm>
          <a:off x="4340678" y="54428"/>
          <a:ext cx="3211286" cy="35939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集計表シートは月数分コピーして使用してください</a:t>
          </a:r>
        </a:p>
      </xdr:txBody>
    </xdr:sp>
    <xdr:clientData/>
  </xdr:twoCellAnchor>
  <xdr:twoCellAnchor>
    <xdr:from>
      <xdr:col>4</xdr:col>
      <xdr:colOff>1143001</xdr:colOff>
      <xdr:row>1</xdr:row>
      <xdr:rowOff>204108</xdr:rowOff>
    </xdr:from>
    <xdr:to>
      <xdr:col>6</xdr:col>
      <xdr:colOff>545086</xdr:colOff>
      <xdr:row>2</xdr:row>
      <xdr:rowOff>272144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221020-11AE-4F65-8845-F1FFB4FAEA54}"/>
            </a:ext>
          </a:extLst>
        </xdr:cNvPr>
        <xdr:cNvSpPr txBox="1"/>
      </xdr:nvSpPr>
      <xdr:spPr>
        <a:xfrm>
          <a:off x="2830287" y="449037"/>
          <a:ext cx="1987442" cy="31296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西暦および月を入力</a:t>
          </a:r>
        </a:p>
      </xdr:txBody>
    </xdr:sp>
    <xdr:clientData/>
  </xdr:twoCellAnchor>
  <xdr:twoCellAnchor>
    <xdr:from>
      <xdr:col>6</xdr:col>
      <xdr:colOff>545086</xdr:colOff>
      <xdr:row>2</xdr:row>
      <xdr:rowOff>115662</xdr:rowOff>
    </xdr:from>
    <xdr:to>
      <xdr:col>7</xdr:col>
      <xdr:colOff>367393</xdr:colOff>
      <xdr:row>2</xdr:row>
      <xdr:rowOff>122464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D34D5E1-C7F0-4616-8E98-11963D51E4F1}"/>
            </a:ext>
          </a:extLst>
        </xdr:cNvPr>
        <xdr:cNvCxnSpPr>
          <a:stCxn id="3" idx="3"/>
        </xdr:cNvCxnSpPr>
      </xdr:nvCxnSpPr>
      <xdr:spPr>
        <a:xfrm>
          <a:off x="4817729" y="605519"/>
          <a:ext cx="502664" cy="6802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901534</xdr:colOff>
      <xdr:row>4</xdr:row>
      <xdr:rowOff>258537</xdr:rowOff>
    </xdr:from>
    <xdr:to>
      <xdr:col>7</xdr:col>
      <xdr:colOff>81640</xdr:colOff>
      <xdr:row>6</xdr:row>
      <xdr:rowOff>264142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08BA8E9-602B-4357-9F08-258702AFC481}"/>
            </a:ext>
          </a:extLst>
        </xdr:cNvPr>
        <xdr:cNvSpPr txBox="1"/>
      </xdr:nvSpPr>
      <xdr:spPr>
        <a:xfrm>
          <a:off x="2588820" y="1183823"/>
          <a:ext cx="2445820" cy="57710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現場作業日の温度を記入</a:t>
          </a:r>
          <a:endParaRPr kumimoji="1" lang="en-US" altLang="ja-JP" sz="1200"/>
        </a:p>
        <a:p>
          <a:pPr algn="ctr"/>
          <a:r>
            <a:rPr kumimoji="1" lang="ja-JP" altLang="en-US" sz="1200"/>
            <a:t>（始期から終期まで）</a:t>
          </a:r>
        </a:p>
      </xdr:txBody>
    </xdr:sp>
    <xdr:clientData/>
  </xdr:twoCellAnchor>
  <xdr:twoCellAnchor>
    <xdr:from>
      <xdr:col>4</xdr:col>
      <xdr:colOff>421817</xdr:colOff>
      <xdr:row>6</xdr:row>
      <xdr:rowOff>244930</xdr:rowOff>
    </xdr:from>
    <xdr:to>
      <xdr:col>4</xdr:col>
      <xdr:colOff>906816</xdr:colOff>
      <xdr:row>8</xdr:row>
      <xdr:rowOff>103256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C55F3DB-80E0-4CAE-A08E-AB8AA8139F64}"/>
            </a:ext>
          </a:extLst>
        </xdr:cNvPr>
        <xdr:cNvCxnSpPr/>
      </xdr:nvCxnSpPr>
      <xdr:spPr>
        <a:xfrm flipH="1">
          <a:off x="2109103" y="1741716"/>
          <a:ext cx="484999" cy="4298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585104</xdr:colOff>
      <xdr:row>6</xdr:row>
      <xdr:rowOff>258537</xdr:rowOff>
    </xdr:from>
    <xdr:to>
      <xdr:col>5</xdr:col>
      <xdr:colOff>1058436</xdr:colOff>
      <xdr:row>8</xdr:row>
      <xdr:rowOff>114462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D80FEFD-570C-4055-82B5-AAF99A57825D}"/>
            </a:ext>
          </a:extLst>
        </xdr:cNvPr>
        <xdr:cNvCxnSpPr/>
      </xdr:nvCxnSpPr>
      <xdr:spPr>
        <a:xfrm flipH="1">
          <a:off x="3565068" y="1755323"/>
          <a:ext cx="473332" cy="427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789215</xdr:colOff>
      <xdr:row>11</xdr:row>
      <xdr:rowOff>78921</xdr:rowOff>
    </xdr:from>
    <xdr:to>
      <xdr:col>6</xdr:col>
      <xdr:colOff>557894</xdr:colOff>
      <xdr:row>12</xdr:row>
      <xdr:rowOff>136071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FAA4AF1-09A9-4C52-8281-9FCDC7769C1C}"/>
            </a:ext>
          </a:extLst>
        </xdr:cNvPr>
        <xdr:cNvSpPr txBox="1"/>
      </xdr:nvSpPr>
      <xdr:spPr>
        <a:xfrm>
          <a:off x="3769179" y="3018064"/>
          <a:ext cx="1061358" cy="329293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自動判定</a:t>
          </a:r>
        </a:p>
      </xdr:txBody>
    </xdr:sp>
    <xdr:clientData/>
  </xdr:twoCellAnchor>
  <xdr:twoCellAnchor>
    <xdr:from>
      <xdr:col>6</xdr:col>
      <xdr:colOff>27215</xdr:colOff>
      <xdr:row>9</xdr:row>
      <xdr:rowOff>457201</xdr:rowOff>
    </xdr:from>
    <xdr:to>
      <xdr:col>6</xdr:col>
      <xdr:colOff>530679</xdr:colOff>
      <xdr:row>11</xdr:row>
      <xdr:rowOff>78921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C56655B-8F70-4D66-8CD3-E054CDF577FA}"/>
            </a:ext>
          </a:extLst>
        </xdr:cNvPr>
        <xdr:cNvCxnSpPr>
          <a:stCxn id="11" idx="0"/>
        </xdr:cNvCxnSpPr>
      </xdr:nvCxnSpPr>
      <xdr:spPr>
        <a:xfrm flipV="1">
          <a:off x="4299858" y="2661558"/>
          <a:ext cx="503464" cy="3565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557893</xdr:colOff>
      <xdr:row>7</xdr:row>
      <xdr:rowOff>185057</xdr:rowOff>
    </xdr:from>
    <xdr:to>
      <xdr:col>8</xdr:col>
      <xdr:colOff>612324</xdr:colOff>
      <xdr:row>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1EEE4746-6F5E-4757-9A07-A49CD1FE67B8}"/>
            </a:ext>
          </a:extLst>
        </xdr:cNvPr>
        <xdr:cNvCxnSpPr/>
      </xdr:nvCxnSpPr>
      <xdr:spPr>
        <a:xfrm flipH="1">
          <a:off x="5891893" y="1967593"/>
          <a:ext cx="54431" cy="23676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408217</xdr:colOff>
      <xdr:row>5</xdr:row>
      <xdr:rowOff>176894</xdr:rowOff>
    </xdr:from>
    <xdr:to>
      <xdr:col>11</xdr:col>
      <xdr:colOff>367394</xdr:colOff>
      <xdr:row>7</xdr:row>
      <xdr:rowOff>187780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949EBC1-4795-4749-A876-C7ED554CBFC7}"/>
            </a:ext>
          </a:extLst>
        </xdr:cNvPr>
        <xdr:cNvSpPr txBox="1"/>
      </xdr:nvSpPr>
      <xdr:spPr>
        <a:xfrm>
          <a:off x="5742217" y="1387930"/>
          <a:ext cx="1755320" cy="58238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休工日等をプルダウンから選択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85725</xdr:rowOff>
    </xdr:from>
    <xdr:to>
      <xdr:col>2</xdr:col>
      <xdr:colOff>60375</xdr:colOff>
      <xdr:row>2</xdr:row>
      <xdr:rowOff>3225</xdr:rowOff>
    </xdr:to>
    <xdr:sp macro="" textlink="">
      <xdr:nvSpPr>
        <xdr:cNvPr id="2" name="ひし形 1">
          <a:extLst>
            <a:ext uri="{FF2B5EF4-FFF2-40B4-BE49-F238E27FC236}">
              <a16:creationId xmlns:a16="http://schemas.microsoft.com/office/drawing/2014/main" id="{A46B2876-61F3-49D3-970E-9B384106EAEA}"/>
            </a:ext>
          </a:extLst>
        </xdr:cNvPr>
        <xdr:cNvSpPr/>
      </xdr:nvSpPr>
      <xdr:spPr>
        <a:xfrm>
          <a:off x="523875" y="276225"/>
          <a:ext cx="108000" cy="108000"/>
        </a:xfrm>
        <a:prstGeom prst="diamond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238125</xdr:colOff>
      <xdr:row>1</xdr:row>
      <xdr:rowOff>85725</xdr:rowOff>
    </xdr:from>
    <xdr:to>
      <xdr:col>4</xdr:col>
      <xdr:colOff>60375</xdr:colOff>
      <xdr:row>2</xdr:row>
      <xdr:rowOff>3225</xdr:rowOff>
    </xdr:to>
    <xdr:sp macro="" textlink="">
      <xdr:nvSpPr>
        <xdr:cNvPr id="3" name="ひし形 2">
          <a:extLst>
            <a:ext uri="{FF2B5EF4-FFF2-40B4-BE49-F238E27FC236}">
              <a16:creationId xmlns:a16="http://schemas.microsoft.com/office/drawing/2014/main" id="{2DF0F893-DDA1-4697-B186-5A35CD4741B7}"/>
            </a:ext>
          </a:extLst>
        </xdr:cNvPr>
        <xdr:cNvSpPr/>
      </xdr:nvSpPr>
      <xdr:spPr>
        <a:xfrm>
          <a:off x="1095375" y="276225"/>
          <a:ext cx="108000" cy="108000"/>
        </a:xfrm>
        <a:prstGeom prst="diamond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238125</xdr:colOff>
      <xdr:row>1</xdr:row>
      <xdr:rowOff>85725</xdr:rowOff>
    </xdr:from>
    <xdr:to>
      <xdr:col>14</xdr:col>
      <xdr:colOff>60375</xdr:colOff>
      <xdr:row>2</xdr:row>
      <xdr:rowOff>3225</xdr:rowOff>
    </xdr:to>
    <xdr:sp macro="" textlink="">
      <xdr:nvSpPr>
        <xdr:cNvPr id="4" name="ひし形 3">
          <a:extLst>
            <a:ext uri="{FF2B5EF4-FFF2-40B4-BE49-F238E27FC236}">
              <a16:creationId xmlns:a16="http://schemas.microsoft.com/office/drawing/2014/main" id="{A0572EE5-36C6-4D12-8D72-0D45665A0433}"/>
            </a:ext>
          </a:extLst>
        </xdr:cNvPr>
        <xdr:cNvSpPr/>
      </xdr:nvSpPr>
      <xdr:spPr>
        <a:xfrm>
          <a:off x="3952875" y="276225"/>
          <a:ext cx="108000" cy="108000"/>
        </a:xfrm>
        <a:prstGeom prst="diamond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238125</xdr:colOff>
      <xdr:row>1</xdr:row>
      <xdr:rowOff>85725</xdr:rowOff>
    </xdr:from>
    <xdr:to>
      <xdr:col>16</xdr:col>
      <xdr:colOff>60375</xdr:colOff>
      <xdr:row>2</xdr:row>
      <xdr:rowOff>3225</xdr:rowOff>
    </xdr:to>
    <xdr:sp macro="" textlink="">
      <xdr:nvSpPr>
        <xdr:cNvPr id="5" name="ひし形 4">
          <a:extLst>
            <a:ext uri="{FF2B5EF4-FFF2-40B4-BE49-F238E27FC236}">
              <a16:creationId xmlns:a16="http://schemas.microsoft.com/office/drawing/2014/main" id="{85BE224F-5A54-4D04-9D17-2EDD437FA693}"/>
            </a:ext>
          </a:extLst>
        </xdr:cNvPr>
        <xdr:cNvSpPr/>
      </xdr:nvSpPr>
      <xdr:spPr>
        <a:xfrm>
          <a:off x="4524375" y="276225"/>
          <a:ext cx="108000" cy="108000"/>
        </a:xfrm>
        <a:prstGeom prst="diamond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26"/>
  <sheetViews>
    <sheetView tabSelected="1" view="pageBreakPreview" zoomScale="85" zoomScaleNormal="100" zoomScaleSheetLayoutView="85" workbookViewId="0">
      <selection activeCell="J4" sqref="J4"/>
    </sheetView>
  </sheetViews>
  <sheetFormatPr defaultRowHeight="13.5" x14ac:dyDescent="0.15"/>
  <cols>
    <col min="2" max="2" width="16.125" bestFit="1" customWidth="1"/>
    <col min="3" max="3" width="11.375" customWidth="1"/>
    <col min="4" max="4" width="6.375" customWidth="1"/>
    <col min="5" max="5" width="9" customWidth="1"/>
    <col min="8" max="8" width="10.625" customWidth="1"/>
    <col min="9" max="9" width="9" customWidth="1"/>
  </cols>
  <sheetData>
    <row r="1" spans="1:8" ht="60.75" customHeight="1" x14ac:dyDescent="0.15">
      <c r="H1" s="168" t="s">
        <v>114</v>
      </c>
    </row>
    <row r="2" spans="1:8" x14ac:dyDescent="0.15">
      <c r="F2" s="82" t="s">
        <v>89</v>
      </c>
      <c r="G2" s="82"/>
      <c r="H2" s="82"/>
    </row>
    <row r="4" spans="1:8" ht="21" x14ac:dyDescent="0.15">
      <c r="A4" s="83" t="s">
        <v>13</v>
      </c>
      <c r="B4" s="83"/>
      <c r="C4" s="83"/>
      <c r="D4" s="83"/>
      <c r="E4" s="83"/>
      <c r="F4" s="83"/>
      <c r="G4" s="83"/>
      <c r="H4" s="83"/>
    </row>
    <row r="6" spans="1:8" x14ac:dyDescent="0.15">
      <c r="D6" s="7"/>
      <c r="E6" s="7"/>
    </row>
    <row r="7" spans="1:8" x14ac:dyDescent="0.15">
      <c r="B7" s="34" t="s">
        <v>14</v>
      </c>
      <c r="C7" s="99">
        <f>集計表1!E5</f>
        <v>0</v>
      </c>
      <c r="D7" s="99"/>
      <c r="E7" s="99"/>
      <c r="F7" s="99"/>
      <c r="G7" s="99"/>
    </row>
    <row r="8" spans="1:8" x14ac:dyDescent="0.15">
      <c r="B8" s="34" t="s">
        <v>78</v>
      </c>
      <c r="C8" s="99">
        <f>集計表1!E6</f>
        <v>0</v>
      </c>
      <c r="D8" s="99"/>
      <c r="E8" s="99"/>
      <c r="F8" s="99"/>
      <c r="G8" s="99"/>
    </row>
    <row r="9" spans="1:8" x14ac:dyDescent="0.15">
      <c r="B9" s="34" t="s">
        <v>79</v>
      </c>
      <c r="C9" s="99">
        <f>集計表1!E7</f>
        <v>0</v>
      </c>
      <c r="D9" s="99"/>
      <c r="E9" s="99"/>
      <c r="F9" s="99"/>
      <c r="G9" s="99"/>
    </row>
    <row r="10" spans="1:8" x14ac:dyDescent="0.15">
      <c r="B10" s="34" t="s">
        <v>80</v>
      </c>
      <c r="C10" s="99">
        <f>集計表1!E8</f>
        <v>0</v>
      </c>
      <c r="D10" s="99"/>
      <c r="E10" s="99"/>
      <c r="F10" s="99"/>
      <c r="G10" s="99"/>
    </row>
    <row r="11" spans="1:8" x14ac:dyDescent="0.15">
      <c r="B11" s="7"/>
      <c r="C11" s="7"/>
      <c r="E11" s="7"/>
    </row>
    <row r="13" spans="1:8" x14ac:dyDescent="0.15">
      <c r="A13" s="84" t="s">
        <v>15</v>
      </c>
      <c r="B13" s="84"/>
      <c r="C13" s="84"/>
      <c r="D13" s="84"/>
      <c r="E13" s="84"/>
      <c r="F13" s="84"/>
      <c r="G13" s="84"/>
      <c r="H13" s="84"/>
    </row>
    <row r="14" spans="1:8" x14ac:dyDescent="0.15">
      <c r="A14" s="84"/>
      <c r="B14" s="84"/>
      <c r="C14" s="84"/>
      <c r="D14" s="84"/>
      <c r="E14" s="84"/>
      <c r="F14" s="84"/>
      <c r="G14" s="84"/>
      <c r="H14" s="84"/>
    </row>
    <row r="16" spans="1:8" x14ac:dyDescent="0.15">
      <c r="A16" s="16"/>
      <c r="B16" s="16"/>
      <c r="C16" s="17"/>
      <c r="D16" s="18"/>
      <c r="E16" s="85" t="s">
        <v>11</v>
      </c>
      <c r="F16" s="86"/>
      <c r="G16" s="86"/>
      <c r="H16" s="87"/>
    </row>
    <row r="17" spans="1:9" ht="39" customHeight="1" x14ac:dyDescent="0.15">
      <c r="A17" s="88" t="s">
        <v>112</v>
      </c>
      <c r="B17" s="3" t="s">
        <v>81</v>
      </c>
      <c r="C17" s="90"/>
      <c r="D17" s="90"/>
      <c r="E17" s="91" t="s">
        <v>85</v>
      </c>
      <c r="F17" s="92"/>
      <c r="G17" s="92"/>
      <c r="H17" s="93"/>
    </row>
    <row r="18" spans="1:9" ht="39" customHeight="1" x14ac:dyDescent="0.15">
      <c r="A18" s="89"/>
      <c r="B18" s="3" t="s">
        <v>82</v>
      </c>
      <c r="C18" s="90"/>
      <c r="D18" s="90"/>
      <c r="E18" s="94" t="s">
        <v>90</v>
      </c>
      <c r="F18" s="95"/>
      <c r="G18" s="95"/>
      <c r="H18" s="96"/>
    </row>
    <row r="19" spans="1:9" ht="39" customHeight="1" x14ac:dyDescent="0.15">
      <c r="A19" s="89"/>
      <c r="B19" s="3" t="s">
        <v>16</v>
      </c>
      <c r="C19" s="40"/>
      <c r="D19" s="20" t="s">
        <v>17</v>
      </c>
      <c r="E19" s="97" t="s">
        <v>83</v>
      </c>
      <c r="F19" s="98"/>
      <c r="G19" s="98"/>
      <c r="H19" s="98"/>
    </row>
    <row r="20" spans="1:9" ht="39" customHeight="1" x14ac:dyDescent="0.15">
      <c r="A20" s="89"/>
      <c r="B20" s="3" t="s">
        <v>108</v>
      </c>
      <c r="C20" s="19" t="str">
        <f>IF(C17="","",C18-C17-C19+1)</f>
        <v/>
      </c>
      <c r="D20" s="20" t="s">
        <v>17</v>
      </c>
      <c r="E20" s="85"/>
      <c r="F20" s="86"/>
      <c r="G20" s="86"/>
      <c r="H20" s="87"/>
      <c r="I20" t="s">
        <v>88</v>
      </c>
    </row>
    <row r="21" spans="1:9" ht="39" customHeight="1" x14ac:dyDescent="0.15">
      <c r="A21" s="89" t="s">
        <v>109</v>
      </c>
      <c r="B21" s="89"/>
      <c r="C21" s="40"/>
      <c r="D21" s="20" t="s">
        <v>17</v>
      </c>
      <c r="E21" s="94" t="s">
        <v>86</v>
      </c>
      <c r="F21" s="95"/>
      <c r="G21" s="95"/>
      <c r="H21" s="96"/>
      <c r="I21" t="s">
        <v>87</v>
      </c>
    </row>
    <row r="22" spans="1:9" ht="39" customHeight="1" x14ac:dyDescent="0.15">
      <c r="A22" s="89" t="s">
        <v>18</v>
      </c>
      <c r="B22" s="89"/>
      <c r="C22" s="85" t="str">
        <f>IFERROR(ROUND(C21/C20,2),"")</f>
        <v/>
      </c>
      <c r="D22" s="87"/>
      <c r="E22" s="91" t="s">
        <v>110</v>
      </c>
      <c r="F22" s="95"/>
      <c r="G22" s="95"/>
      <c r="H22" s="96"/>
      <c r="I22" t="s">
        <v>88</v>
      </c>
    </row>
    <row r="23" spans="1:9" ht="39" customHeight="1" x14ac:dyDescent="0.15">
      <c r="A23" s="89" t="s">
        <v>19</v>
      </c>
      <c r="B23" s="89"/>
      <c r="C23" s="19" t="str">
        <f>IFERROR(ROUND(C22*1.2,2),"")</f>
        <v/>
      </c>
      <c r="D23" s="21" t="s">
        <v>20</v>
      </c>
      <c r="E23" s="91" t="s">
        <v>84</v>
      </c>
      <c r="F23" s="95"/>
      <c r="G23" s="95"/>
      <c r="H23" s="96"/>
      <c r="I23" t="s">
        <v>88</v>
      </c>
    </row>
    <row r="24" spans="1:9" x14ac:dyDescent="0.15">
      <c r="A24" s="7"/>
      <c r="B24" s="7"/>
      <c r="C24" s="7"/>
      <c r="D24" s="7"/>
      <c r="E24" s="7"/>
      <c r="F24" s="7"/>
      <c r="G24" s="7"/>
      <c r="H24" s="7"/>
    </row>
    <row r="25" spans="1:9" x14ac:dyDescent="0.15">
      <c r="A25" s="7"/>
      <c r="B25" s="7"/>
      <c r="C25" s="7"/>
      <c r="D25" s="7"/>
      <c r="E25" s="7"/>
      <c r="F25" s="7"/>
      <c r="G25" s="7"/>
      <c r="H25" s="7"/>
    </row>
    <row r="26" spans="1:9" x14ac:dyDescent="0.15">
      <c r="A26" s="7"/>
      <c r="B26" s="7"/>
      <c r="C26" s="7"/>
      <c r="D26" s="7"/>
      <c r="E26" s="7"/>
      <c r="F26" s="7"/>
      <c r="G26" s="7"/>
      <c r="H26" s="7"/>
    </row>
  </sheetData>
  <mergeCells count="22">
    <mergeCell ref="A23:B23"/>
    <mergeCell ref="E23:H23"/>
    <mergeCell ref="E20:H20"/>
    <mergeCell ref="A21:B21"/>
    <mergeCell ref="E21:H21"/>
    <mergeCell ref="A22:B22"/>
    <mergeCell ref="C22:D22"/>
    <mergeCell ref="E22:H22"/>
    <mergeCell ref="F2:H2"/>
    <mergeCell ref="A4:H4"/>
    <mergeCell ref="A13:H14"/>
    <mergeCell ref="E16:H16"/>
    <mergeCell ref="A17:A20"/>
    <mergeCell ref="C17:D17"/>
    <mergeCell ref="E17:H17"/>
    <mergeCell ref="C18:D18"/>
    <mergeCell ref="E18:H18"/>
    <mergeCell ref="E19:H19"/>
    <mergeCell ref="C7:G7"/>
    <mergeCell ref="C8:G8"/>
    <mergeCell ref="C9:G9"/>
    <mergeCell ref="C10:G10"/>
  </mergeCells>
  <phoneticPr fontId="2"/>
  <pageMargins left="1.1023622047244095" right="0.31496062992125984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8D30-E8AC-4387-B9FE-C607D401666B}">
  <sheetPr>
    <tabColor theme="4"/>
  </sheetPr>
  <dimension ref="A1:I26"/>
  <sheetViews>
    <sheetView view="pageBreakPreview" zoomScale="85" zoomScaleNormal="100" zoomScaleSheetLayoutView="85" workbookViewId="0">
      <selection activeCell="A21" sqref="A21:B21"/>
    </sheetView>
  </sheetViews>
  <sheetFormatPr defaultRowHeight="13.5" x14ac:dyDescent="0.15"/>
  <cols>
    <col min="2" max="2" width="16.125" bestFit="1" customWidth="1"/>
    <col min="3" max="3" width="11.375" customWidth="1"/>
    <col min="4" max="4" width="6.375" customWidth="1"/>
    <col min="5" max="5" width="9" customWidth="1"/>
    <col min="8" max="8" width="10.625" customWidth="1"/>
    <col min="9" max="9" width="9" customWidth="1"/>
  </cols>
  <sheetData>
    <row r="1" spans="1:8" ht="60.75" customHeight="1" x14ac:dyDescent="0.15"/>
    <row r="2" spans="1:8" x14ac:dyDescent="0.15">
      <c r="F2" s="82" t="s">
        <v>99</v>
      </c>
      <c r="G2" s="82"/>
      <c r="H2" s="82"/>
    </row>
    <row r="4" spans="1:8" ht="21" x14ac:dyDescent="0.15">
      <c r="A4" s="83" t="s">
        <v>13</v>
      </c>
      <c r="B4" s="83"/>
      <c r="C4" s="83"/>
      <c r="D4" s="83"/>
      <c r="E4" s="83"/>
      <c r="F4" s="83"/>
      <c r="G4" s="83"/>
      <c r="H4" s="83"/>
    </row>
    <row r="6" spans="1:8" x14ac:dyDescent="0.15">
      <c r="D6" s="7"/>
      <c r="E6" s="7"/>
    </row>
    <row r="7" spans="1:8" x14ac:dyDescent="0.15">
      <c r="B7" s="36" t="s">
        <v>14</v>
      </c>
      <c r="C7" s="99" t="str">
        <f>【記載例】集計表記載例!E5</f>
        <v>第〇〇〇〇〇〇〇号</v>
      </c>
      <c r="D7" s="99"/>
      <c r="E7" s="99"/>
      <c r="F7" s="99"/>
      <c r="G7" s="99"/>
    </row>
    <row r="8" spans="1:8" x14ac:dyDescent="0.15">
      <c r="B8" s="36" t="s">
        <v>78</v>
      </c>
      <c r="C8" s="99" t="str">
        <f>【記載例】集計表記載例!E6</f>
        <v>〇〇〇〇〇〇〇工事</v>
      </c>
      <c r="D8" s="99"/>
      <c r="E8" s="99"/>
      <c r="F8" s="99"/>
      <c r="G8" s="99"/>
    </row>
    <row r="9" spans="1:8" x14ac:dyDescent="0.15">
      <c r="B9" s="36" t="s">
        <v>79</v>
      </c>
      <c r="C9" s="99" t="str">
        <f>【記載例】集計表記載例!E7</f>
        <v>㈱〇〇〇〇建設</v>
      </c>
      <c r="D9" s="99"/>
      <c r="E9" s="99"/>
      <c r="F9" s="99"/>
      <c r="G9" s="99"/>
    </row>
    <row r="10" spans="1:8" x14ac:dyDescent="0.15">
      <c r="B10" s="36" t="s">
        <v>80</v>
      </c>
      <c r="C10" s="99" t="str">
        <f>【記載例】集計表記載例!E8</f>
        <v>和歌山</v>
      </c>
      <c r="D10" s="99"/>
      <c r="E10" s="99"/>
      <c r="F10" s="99"/>
      <c r="G10" s="99"/>
    </row>
    <row r="11" spans="1:8" x14ac:dyDescent="0.15">
      <c r="B11" s="7"/>
      <c r="C11" s="7"/>
      <c r="E11" s="7"/>
    </row>
    <row r="13" spans="1:8" x14ac:dyDescent="0.15">
      <c r="A13" s="84" t="s">
        <v>15</v>
      </c>
      <c r="B13" s="84"/>
      <c r="C13" s="84"/>
      <c r="D13" s="84"/>
      <c r="E13" s="84"/>
      <c r="F13" s="84"/>
      <c r="G13" s="84"/>
      <c r="H13" s="84"/>
    </row>
    <row r="14" spans="1:8" x14ac:dyDescent="0.15">
      <c r="A14" s="84"/>
      <c r="B14" s="84"/>
      <c r="C14" s="84"/>
      <c r="D14" s="84"/>
      <c r="E14" s="84"/>
      <c r="F14" s="84"/>
      <c r="G14" s="84"/>
      <c r="H14" s="84"/>
    </row>
    <row r="16" spans="1:8" x14ac:dyDescent="0.15">
      <c r="A16" s="16"/>
      <c r="B16" s="16"/>
      <c r="C16" s="17"/>
      <c r="D16" s="18"/>
      <c r="E16" s="85" t="s">
        <v>11</v>
      </c>
      <c r="F16" s="86"/>
      <c r="G16" s="86"/>
      <c r="H16" s="87"/>
    </row>
    <row r="17" spans="1:9" ht="39" customHeight="1" x14ac:dyDescent="0.15">
      <c r="A17" s="88" t="s">
        <v>112</v>
      </c>
      <c r="B17" s="43" t="s">
        <v>81</v>
      </c>
      <c r="C17" s="90">
        <v>45509</v>
      </c>
      <c r="D17" s="90"/>
      <c r="E17" s="91" t="s">
        <v>85</v>
      </c>
      <c r="F17" s="92"/>
      <c r="G17" s="92"/>
      <c r="H17" s="93"/>
    </row>
    <row r="18" spans="1:9" ht="39" customHeight="1" x14ac:dyDescent="0.15">
      <c r="A18" s="89"/>
      <c r="B18" s="43" t="s">
        <v>82</v>
      </c>
      <c r="C18" s="90">
        <v>45533</v>
      </c>
      <c r="D18" s="90"/>
      <c r="E18" s="94" t="s">
        <v>90</v>
      </c>
      <c r="F18" s="95"/>
      <c r="G18" s="95"/>
      <c r="H18" s="96"/>
    </row>
    <row r="19" spans="1:9" ht="39" customHeight="1" x14ac:dyDescent="0.15">
      <c r="A19" s="89"/>
      <c r="B19" s="43" t="s">
        <v>16</v>
      </c>
      <c r="C19" s="40">
        <v>3</v>
      </c>
      <c r="D19" s="44" t="s">
        <v>17</v>
      </c>
      <c r="E19" s="97" t="s">
        <v>83</v>
      </c>
      <c r="F19" s="98"/>
      <c r="G19" s="98"/>
      <c r="H19" s="98"/>
    </row>
    <row r="20" spans="1:9" ht="39" customHeight="1" x14ac:dyDescent="0.15">
      <c r="A20" s="89"/>
      <c r="B20" s="43" t="s">
        <v>108</v>
      </c>
      <c r="C20" s="19">
        <f>IF(C17="","",C18-C17-C19+1)</f>
        <v>22</v>
      </c>
      <c r="D20" s="44" t="s">
        <v>17</v>
      </c>
      <c r="E20" s="85"/>
      <c r="F20" s="86"/>
      <c r="G20" s="86"/>
      <c r="H20" s="87"/>
      <c r="I20" t="s">
        <v>88</v>
      </c>
    </row>
    <row r="21" spans="1:9" ht="39" customHeight="1" x14ac:dyDescent="0.15">
      <c r="A21" s="89" t="s">
        <v>109</v>
      </c>
      <c r="B21" s="89"/>
      <c r="C21" s="40">
        <v>14</v>
      </c>
      <c r="D21" s="44" t="s">
        <v>17</v>
      </c>
      <c r="E21" s="94" t="s">
        <v>86</v>
      </c>
      <c r="F21" s="95"/>
      <c r="G21" s="95"/>
      <c r="H21" s="96"/>
      <c r="I21" t="s">
        <v>87</v>
      </c>
    </row>
    <row r="22" spans="1:9" ht="39" customHeight="1" x14ac:dyDescent="0.15">
      <c r="A22" s="89" t="s">
        <v>18</v>
      </c>
      <c r="B22" s="89"/>
      <c r="C22" s="85">
        <f>IFERROR(ROUND(C21/C20,2),"")</f>
        <v>0.64</v>
      </c>
      <c r="D22" s="87"/>
      <c r="E22" s="91" t="s">
        <v>110</v>
      </c>
      <c r="F22" s="95"/>
      <c r="G22" s="95"/>
      <c r="H22" s="96"/>
      <c r="I22" t="s">
        <v>88</v>
      </c>
    </row>
    <row r="23" spans="1:9" ht="39" customHeight="1" x14ac:dyDescent="0.15">
      <c r="A23" s="89" t="s">
        <v>19</v>
      </c>
      <c r="B23" s="89"/>
      <c r="C23" s="19">
        <f>IFERROR(ROUND(C22*1.2,2),"")</f>
        <v>0.77</v>
      </c>
      <c r="D23" s="21" t="s">
        <v>20</v>
      </c>
      <c r="E23" s="91" t="s">
        <v>84</v>
      </c>
      <c r="F23" s="95"/>
      <c r="G23" s="95"/>
      <c r="H23" s="96"/>
      <c r="I23" t="s">
        <v>88</v>
      </c>
    </row>
    <row r="24" spans="1:9" x14ac:dyDescent="0.15">
      <c r="A24" s="7"/>
      <c r="B24" s="7"/>
      <c r="C24" s="7"/>
      <c r="D24" s="7"/>
      <c r="E24" s="7"/>
      <c r="F24" s="7"/>
      <c r="G24" s="7"/>
      <c r="H24" s="7"/>
    </row>
    <row r="25" spans="1:9" x14ac:dyDescent="0.15">
      <c r="A25" s="7"/>
      <c r="B25" s="7"/>
      <c r="C25" s="7"/>
      <c r="D25" s="7"/>
      <c r="E25" s="7"/>
      <c r="F25" s="7"/>
      <c r="G25" s="7"/>
      <c r="H25" s="7"/>
    </row>
    <row r="26" spans="1:9" x14ac:dyDescent="0.15">
      <c r="A26" s="7"/>
      <c r="B26" s="7"/>
      <c r="C26" s="7"/>
      <c r="D26" s="7"/>
      <c r="E26" s="7"/>
      <c r="F26" s="7"/>
      <c r="G26" s="7"/>
      <c r="H26" s="7"/>
    </row>
  </sheetData>
  <mergeCells count="22">
    <mergeCell ref="A23:B23"/>
    <mergeCell ref="E23:H23"/>
    <mergeCell ref="A13:H14"/>
    <mergeCell ref="E16:H16"/>
    <mergeCell ref="A17:A20"/>
    <mergeCell ref="C17:D17"/>
    <mergeCell ref="E17:H17"/>
    <mergeCell ref="C18:D18"/>
    <mergeCell ref="E18:H18"/>
    <mergeCell ref="E19:H19"/>
    <mergeCell ref="E20:H20"/>
    <mergeCell ref="A21:B21"/>
    <mergeCell ref="E21:H21"/>
    <mergeCell ref="A22:B22"/>
    <mergeCell ref="C22:D22"/>
    <mergeCell ref="E22:H22"/>
    <mergeCell ref="C10:G10"/>
    <mergeCell ref="F2:H2"/>
    <mergeCell ref="A4:H4"/>
    <mergeCell ref="C7:G7"/>
    <mergeCell ref="C8:G8"/>
    <mergeCell ref="C9:G9"/>
  </mergeCells>
  <phoneticPr fontId="2"/>
  <pageMargins left="1.1023622047244095" right="0.31496062992125984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0632-9648-4D07-8BC8-AAD923CB3F4E}">
  <sheetPr>
    <tabColor rgb="FFFF0000"/>
    <pageSetUpPr fitToPage="1"/>
  </sheetPr>
  <dimension ref="A1:R52"/>
  <sheetViews>
    <sheetView view="pageBreakPreview" zoomScale="70" zoomScaleNormal="85" zoomScaleSheetLayoutView="70" workbookViewId="0">
      <selection activeCell="N6" sqref="N6"/>
    </sheetView>
  </sheetViews>
  <sheetFormatPr defaultRowHeight="13.5" x14ac:dyDescent="0.15"/>
  <cols>
    <col min="1" max="1" width="2.875" customWidth="1"/>
    <col min="2" max="3" width="6.25" customWidth="1"/>
    <col min="4" max="4" width="6.75" style="2" customWidth="1"/>
    <col min="5" max="6" width="17" customWidth="1"/>
    <col min="7" max="7" width="9" customWidth="1"/>
    <col min="8" max="8" width="5" customWidth="1"/>
    <col min="9" max="9" width="9" customWidth="1"/>
    <col min="10" max="10" width="5.625" customWidth="1"/>
    <col min="11" max="11" width="9" customWidth="1"/>
    <col min="12" max="12" width="5.625" customWidth="1"/>
    <col min="13" max="13" width="11.625" style="1" bestFit="1" customWidth="1"/>
    <col min="14" max="14" width="7.25" style="1" customWidth="1"/>
    <col min="15" max="15" width="12.625" customWidth="1"/>
    <col min="16" max="16" width="14.875" bestFit="1" customWidth="1"/>
    <col min="17" max="17" width="12.625" customWidth="1"/>
  </cols>
  <sheetData>
    <row r="1" spans="1:18" ht="19.5" customHeight="1" x14ac:dyDescent="0.15">
      <c r="B1" s="100" t="s">
        <v>0</v>
      </c>
      <c r="C1" s="100"/>
      <c r="D1" s="100"/>
      <c r="E1" s="100"/>
      <c r="L1" s="36" t="s">
        <v>114</v>
      </c>
      <c r="M1" s="101" t="s">
        <v>113</v>
      </c>
      <c r="N1" s="101"/>
      <c r="O1" s="101"/>
      <c r="P1" s="101"/>
      <c r="Q1" s="101"/>
      <c r="R1" s="101"/>
    </row>
    <row r="2" spans="1:18" ht="19.5" customHeight="1" x14ac:dyDescent="0.15">
      <c r="B2" s="100"/>
      <c r="C2" s="100"/>
      <c r="D2" s="100"/>
      <c r="E2" s="100"/>
      <c r="F2" s="2"/>
      <c r="G2" s="2"/>
      <c r="H2" s="2"/>
      <c r="I2" s="2"/>
      <c r="J2" s="2"/>
      <c r="L2" s="1"/>
      <c r="M2" s="101"/>
      <c r="N2" s="101"/>
      <c r="O2" s="101"/>
      <c r="P2" s="101"/>
      <c r="Q2" s="101"/>
      <c r="R2" s="101"/>
    </row>
    <row r="3" spans="1:18" ht="22.5" customHeight="1" x14ac:dyDescent="0.15">
      <c r="G3" s="32"/>
      <c r="H3" s="32"/>
      <c r="I3" s="58"/>
      <c r="J3" s="43" t="s">
        <v>1</v>
      </c>
      <c r="K3" s="59"/>
      <c r="L3" s="4" t="s">
        <v>2</v>
      </c>
    </row>
    <row r="4" spans="1:18" ht="11.25" customHeight="1" x14ac:dyDescent="0.15">
      <c r="G4" s="32"/>
      <c r="H4" s="32"/>
      <c r="I4" s="57"/>
      <c r="J4" s="57"/>
      <c r="K4" s="57"/>
      <c r="L4" s="56"/>
    </row>
    <row r="5" spans="1:18" ht="22.5" customHeight="1" x14ac:dyDescent="0.15">
      <c r="C5" s="102" t="s">
        <v>3</v>
      </c>
      <c r="D5" s="102"/>
      <c r="E5" s="110"/>
      <c r="F5" s="110"/>
      <c r="G5" s="110"/>
      <c r="H5" s="110"/>
      <c r="I5" s="110"/>
      <c r="J5" s="110"/>
      <c r="K5" s="110"/>
      <c r="L5" s="41"/>
    </row>
    <row r="6" spans="1:18" ht="22.5" customHeight="1" x14ac:dyDescent="0.15">
      <c r="C6" s="102" t="s">
        <v>91</v>
      </c>
      <c r="D6" s="102"/>
      <c r="E6" s="110"/>
      <c r="F6" s="110"/>
      <c r="G6" s="110"/>
      <c r="H6" s="110"/>
      <c r="I6" s="110"/>
      <c r="J6" s="110"/>
      <c r="K6" s="110"/>
      <c r="L6" s="41"/>
    </row>
    <row r="7" spans="1:18" ht="22.5" customHeight="1" x14ac:dyDescent="0.15">
      <c r="C7" s="102" t="s">
        <v>92</v>
      </c>
      <c r="D7" s="102"/>
      <c r="E7" s="110"/>
      <c r="F7" s="110"/>
      <c r="G7" s="110"/>
      <c r="H7" s="110"/>
      <c r="I7" s="110"/>
      <c r="J7" s="110"/>
      <c r="K7" s="110"/>
      <c r="L7" s="41"/>
    </row>
    <row r="8" spans="1:18" ht="22.5" customHeight="1" x14ac:dyDescent="0.15">
      <c r="C8" s="102" t="s">
        <v>4</v>
      </c>
      <c r="D8" s="102"/>
      <c r="E8" s="103"/>
      <c r="F8" s="103"/>
      <c r="G8" s="103"/>
      <c r="H8" s="103"/>
      <c r="I8" s="103"/>
      <c r="J8" s="103"/>
      <c r="K8" s="103"/>
      <c r="L8" s="42"/>
    </row>
    <row r="9" spans="1:18" ht="10.5" customHeight="1" x14ac:dyDescent="0.15">
      <c r="C9" s="56"/>
      <c r="D9" s="6"/>
      <c r="E9" s="5"/>
      <c r="F9" s="7"/>
      <c r="G9" s="7"/>
      <c r="H9" s="7"/>
      <c r="I9" s="7"/>
      <c r="J9" s="7"/>
      <c r="K9" s="7"/>
      <c r="O9">
        <f>I3</f>
        <v>0</v>
      </c>
      <c r="P9" t="s">
        <v>74</v>
      </c>
    </row>
    <row r="10" spans="1:18" ht="36" customHeight="1" x14ac:dyDescent="0.15">
      <c r="A10" s="8"/>
      <c r="B10" s="89" t="s">
        <v>6</v>
      </c>
      <c r="C10" s="89"/>
      <c r="D10" s="62" t="s">
        <v>7</v>
      </c>
      <c r="E10" s="60" t="s">
        <v>8</v>
      </c>
      <c r="F10" s="61" t="s">
        <v>9</v>
      </c>
      <c r="G10" s="104" t="s">
        <v>10</v>
      </c>
      <c r="H10" s="105"/>
      <c r="I10" s="106" t="s">
        <v>75</v>
      </c>
      <c r="J10" s="107"/>
      <c r="K10" s="108" t="s">
        <v>11</v>
      </c>
      <c r="L10" s="109"/>
      <c r="M10" s="9" t="s">
        <v>12</v>
      </c>
      <c r="N10" s="32"/>
      <c r="O10" s="28" t="s">
        <v>54</v>
      </c>
      <c r="P10" s="28" t="s">
        <v>55</v>
      </c>
      <c r="Q10" s="28"/>
    </row>
    <row r="11" spans="1:18" ht="21.75" customHeight="1" x14ac:dyDescent="0.15">
      <c r="A11" s="8"/>
      <c r="B11" s="120" t="str">
        <f>IF(I3="","",DATE(I3,K3,1))</f>
        <v/>
      </c>
      <c r="C11" s="121"/>
      <c r="D11" s="11" t="str">
        <f t="shared" ref="D11:D41" si="0">TEXT(B11,"aaa")</f>
        <v/>
      </c>
      <c r="E11" s="48"/>
      <c r="F11" s="49"/>
      <c r="G11" s="113" t="str">
        <f>_xlfn.IFS(I11="休工日","",I11="夏季休暇","",I11="年末年始","",I11="工場製作","",I11="一時中止","",I11="その他対象外","",TRUE,IF(E11&gt;=30,"真夏日",IF(F11&gt;=25,"真夏日","")))</f>
        <v/>
      </c>
      <c r="H11" s="113"/>
      <c r="I11" s="122"/>
      <c r="J11" s="123"/>
      <c r="K11" s="124"/>
      <c r="L11" s="125"/>
      <c r="M11" s="12" t="str">
        <f t="shared" ref="M11:M41" si="1">IF(COUNTIF($P$11:$P$35,B11)=1,"祝日","")</f>
        <v/>
      </c>
      <c r="N11" s="32"/>
      <c r="O11" s="29" t="s">
        <v>56</v>
      </c>
      <c r="P11" s="30">
        <f>DATE($O$9,1,1)</f>
        <v>1</v>
      </c>
      <c r="Q11" s="31">
        <f>+P11</f>
        <v>1</v>
      </c>
    </row>
    <row r="12" spans="1:18" ht="21.75" customHeight="1" x14ac:dyDescent="0.15">
      <c r="A12" s="8"/>
      <c r="B12" s="111" t="str">
        <f t="shared" ref="B12:B38" si="2">IF(B11="","",B11+1)</f>
        <v/>
      </c>
      <c r="C12" s="112"/>
      <c r="D12" s="46" t="str">
        <f t="shared" si="0"/>
        <v/>
      </c>
      <c r="E12" s="50"/>
      <c r="F12" s="51"/>
      <c r="G12" s="113" t="str">
        <f t="shared" ref="G12:G40" si="3">_xlfn.IFS(I12="休工日","",I12="夏季休暇","",I12="年末年始","",I12="工場製作","",I12="一時中止","",I12="その他対象外","",TRUE,IF(E12&gt;=30,"真夏日",IF(F12&gt;=25,"真夏日","")))</f>
        <v/>
      </c>
      <c r="H12" s="113"/>
      <c r="I12" s="114"/>
      <c r="J12" s="115"/>
      <c r="K12" s="126"/>
      <c r="L12" s="127"/>
      <c r="M12" s="12" t="str">
        <f t="shared" si="1"/>
        <v/>
      </c>
      <c r="N12" s="32"/>
      <c r="O12" s="29" t="s">
        <v>57</v>
      </c>
      <c r="P12" s="30">
        <f>DATE($O$9,1,7*2)-WEEKDAY(DATE($O$9,1,7*2),3)</f>
        <v>9</v>
      </c>
      <c r="Q12" s="31" t="s">
        <v>58</v>
      </c>
    </row>
    <row r="13" spans="1:18" ht="21.75" customHeight="1" x14ac:dyDescent="0.15">
      <c r="A13" s="8"/>
      <c r="B13" s="111" t="str">
        <f t="shared" si="2"/>
        <v/>
      </c>
      <c r="C13" s="112"/>
      <c r="D13" s="47" t="str">
        <f t="shared" si="0"/>
        <v/>
      </c>
      <c r="E13" s="52"/>
      <c r="F13" s="53"/>
      <c r="G13" s="113" t="str">
        <f t="shared" si="3"/>
        <v/>
      </c>
      <c r="H13" s="113"/>
      <c r="I13" s="114"/>
      <c r="J13" s="115"/>
      <c r="K13" s="116"/>
      <c r="L13" s="117"/>
      <c r="M13" s="12" t="str">
        <f t="shared" si="1"/>
        <v/>
      </c>
      <c r="N13" s="32"/>
      <c r="O13" s="29" t="s">
        <v>59</v>
      </c>
      <c r="P13" s="30">
        <f>DATE($O$9,2,11)</f>
        <v>42</v>
      </c>
      <c r="Q13" s="31">
        <f>+P13</f>
        <v>42</v>
      </c>
    </row>
    <row r="14" spans="1:18" ht="21.75" customHeight="1" x14ac:dyDescent="0.15">
      <c r="A14" s="8"/>
      <c r="B14" s="111" t="str">
        <f t="shared" si="2"/>
        <v/>
      </c>
      <c r="C14" s="112"/>
      <c r="D14" s="46" t="str">
        <f t="shared" si="0"/>
        <v/>
      </c>
      <c r="E14" s="50"/>
      <c r="F14" s="51"/>
      <c r="G14" s="113" t="str">
        <f t="shared" si="3"/>
        <v/>
      </c>
      <c r="H14" s="113"/>
      <c r="I14" s="114"/>
      <c r="J14" s="115"/>
      <c r="K14" s="118"/>
      <c r="L14" s="119"/>
      <c r="M14" s="12" t="str">
        <f t="shared" si="1"/>
        <v/>
      </c>
      <c r="N14" s="32"/>
      <c r="O14" s="29"/>
      <c r="P14" s="30" t="str">
        <f>IF(WEEKDAY(P13,1)=1,P13+1,"")</f>
        <v/>
      </c>
      <c r="Q14" s="31" t="str">
        <f>IF(OR(P14=0,P14=""),"",+P14)</f>
        <v/>
      </c>
    </row>
    <row r="15" spans="1:18" ht="21.75" customHeight="1" x14ac:dyDescent="0.15">
      <c r="A15" s="8"/>
      <c r="B15" s="111" t="str">
        <f t="shared" si="2"/>
        <v/>
      </c>
      <c r="C15" s="112"/>
      <c r="D15" s="46" t="str">
        <f t="shared" si="0"/>
        <v/>
      </c>
      <c r="E15" s="50"/>
      <c r="F15" s="51"/>
      <c r="G15" s="113" t="str">
        <f>_xlfn.IFS(I15="休工日","",I15="夏季休暇","",I15="年末年始","",I15="工場製作","",I15="一時中止","",I15="その他対象外","",TRUE,IF(E15&gt;=30,"真夏日",IF(F15&gt;=25,"真夏日","")))</f>
        <v/>
      </c>
      <c r="H15" s="113"/>
      <c r="I15" s="114"/>
      <c r="J15" s="115"/>
      <c r="K15" s="126"/>
      <c r="L15" s="127"/>
      <c r="M15" s="12" t="str">
        <f t="shared" si="1"/>
        <v/>
      </c>
      <c r="N15" s="32"/>
      <c r="O15" s="29" t="s">
        <v>60</v>
      </c>
      <c r="P15" s="30">
        <f>DATE($O$9,2,23)</f>
        <v>54</v>
      </c>
      <c r="Q15" s="31">
        <f>+P15</f>
        <v>54</v>
      </c>
    </row>
    <row r="16" spans="1:18" ht="21.75" customHeight="1" x14ac:dyDescent="0.15">
      <c r="A16" s="8"/>
      <c r="B16" s="111" t="str">
        <f t="shared" si="2"/>
        <v/>
      </c>
      <c r="C16" s="112"/>
      <c r="D16" s="46" t="str">
        <f t="shared" si="0"/>
        <v/>
      </c>
      <c r="E16" s="50"/>
      <c r="F16" s="51"/>
      <c r="G16" s="113" t="str">
        <f t="shared" si="3"/>
        <v/>
      </c>
      <c r="H16" s="113"/>
      <c r="I16" s="114"/>
      <c r="J16" s="115"/>
      <c r="K16" s="126"/>
      <c r="L16" s="127"/>
      <c r="M16" s="12" t="str">
        <f t="shared" si="1"/>
        <v/>
      </c>
      <c r="N16" s="32"/>
      <c r="O16" s="29"/>
      <c r="P16" s="30" t="str">
        <f>IF(WEEKDAY(P15,1)=1,P15+1,"")</f>
        <v/>
      </c>
      <c r="Q16" s="31" t="str">
        <f>IF(OR(P16=0,P16=""),"",+P16)</f>
        <v/>
      </c>
    </row>
    <row r="17" spans="1:17" ht="21.75" customHeight="1" x14ac:dyDescent="0.15">
      <c r="A17" s="8"/>
      <c r="B17" s="111" t="str">
        <f t="shared" si="2"/>
        <v/>
      </c>
      <c r="C17" s="112"/>
      <c r="D17" s="46" t="str">
        <f t="shared" si="0"/>
        <v/>
      </c>
      <c r="E17" s="50"/>
      <c r="F17" s="51"/>
      <c r="G17" s="113" t="str">
        <f t="shared" si="3"/>
        <v/>
      </c>
      <c r="H17" s="113"/>
      <c r="I17" s="114"/>
      <c r="J17" s="115"/>
      <c r="K17" s="126"/>
      <c r="L17" s="127"/>
      <c r="M17" s="12" t="str">
        <f t="shared" si="1"/>
        <v/>
      </c>
      <c r="N17" s="32"/>
      <c r="O17" s="29" t="s">
        <v>61</v>
      </c>
      <c r="P17" s="30">
        <f>DATE($O$9,3,INT(20.8431+0.242194*($O$9-1980)-INT(($O$9-1980)/4)))</f>
        <v>96</v>
      </c>
      <c r="Q17" s="31">
        <f>+P17</f>
        <v>96</v>
      </c>
    </row>
    <row r="18" spans="1:17" ht="21.75" customHeight="1" x14ac:dyDescent="0.15">
      <c r="A18" s="8"/>
      <c r="B18" s="111" t="str">
        <f t="shared" si="2"/>
        <v/>
      </c>
      <c r="C18" s="112"/>
      <c r="D18" s="46" t="str">
        <f t="shared" si="0"/>
        <v/>
      </c>
      <c r="E18" s="50"/>
      <c r="F18" s="51"/>
      <c r="G18" s="113" t="str">
        <f t="shared" si="3"/>
        <v/>
      </c>
      <c r="H18" s="113"/>
      <c r="I18" s="114"/>
      <c r="J18" s="115"/>
      <c r="K18" s="126"/>
      <c r="L18" s="127"/>
      <c r="M18" s="12" t="str">
        <f t="shared" si="1"/>
        <v/>
      </c>
      <c r="N18" s="32"/>
      <c r="O18" s="29"/>
      <c r="P18" s="30" t="str">
        <f>IF(WEEKDAY(P17,1)=1,P17+1,"")</f>
        <v/>
      </c>
      <c r="Q18" s="31" t="str">
        <f>IF(OR(P18=0,P18=""),"",+P18)</f>
        <v/>
      </c>
    </row>
    <row r="19" spans="1:17" ht="21.75" customHeight="1" x14ac:dyDescent="0.15">
      <c r="A19" s="8"/>
      <c r="B19" s="111" t="str">
        <f t="shared" si="2"/>
        <v/>
      </c>
      <c r="C19" s="112"/>
      <c r="D19" s="46" t="str">
        <f t="shared" si="0"/>
        <v/>
      </c>
      <c r="E19" s="50"/>
      <c r="F19" s="51"/>
      <c r="G19" s="113" t="str">
        <f t="shared" si="3"/>
        <v/>
      </c>
      <c r="H19" s="113"/>
      <c r="I19" s="114"/>
      <c r="J19" s="115"/>
      <c r="K19" s="126"/>
      <c r="L19" s="127"/>
      <c r="M19" s="12" t="str">
        <f t="shared" si="1"/>
        <v/>
      </c>
      <c r="N19" s="32"/>
      <c r="O19" s="29" t="s">
        <v>62</v>
      </c>
      <c r="P19" s="30">
        <f>DATE($O$9,4,29)</f>
        <v>120</v>
      </c>
      <c r="Q19" s="31">
        <f>+P19</f>
        <v>120</v>
      </c>
    </row>
    <row r="20" spans="1:17" ht="21.75" customHeight="1" x14ac:dyDescent="0.15">
      <c r="A20" s="8"/>
      <c r="B20" s="111" t="str">
        <f t="shared" si="2"/>
        <v/>
      </c>
      <c r="C20" s="112"/>
      <c r="D20" s="46" t="str">
        <f t="shared" si="0"/>
        <v/>
      </c>
      <c r="E20" s="50"/>
      <c r="F20" s="51"/>
      <c r="G20" s="113" t="str">
        <f t="shared" si="3"/>
        <v/>
      </c>
      <c r="H20" s="113"/>
      <c r="I20" s="114"/>
      <c r="J20" s="115"/>
      <c r="K20" s="126"/>
      <c r="L20" s="127"/>
      <c r="M20" s="12" t="str">
        <f t="shared" si="1"/>
        <v/>
      </c>
      <c r="N20" s="32"/>
      <c r="O20" s="29"/>
      <c r="P20" s="30">
        <f>IF(WEEKDAY(P19,1)=1,P19+1,"")</f>
        <v>121</v>
      </c>
      <c r="Q20" s="31">
        <f>IF(OR(P20=0,P20=""),"",+P20)</f>
        <v>121</v>
      </c>
    </row>
    <row r="21" spans="1:17" ht="21.75" customHeight="1" x14ac:dyDescent="0.15">
      <c r="A21" s="8"/>
      <c r="B21" s="111" t="str">
        <f t="shared" si="2"/>
        <v/>
      </c>
      <c r="C21" s="112"/>
      <c r="D21" s="46" t="str">
        <f t="shared" si="0"/>
        <v/>
      </c>
      <c r="E21" s="50"/>
      <c r="F21" s="51"/>
      <c r="G21" s="113" t="str">
        <f t="shared" si="3"/>
        <v/>
      </c>
      <c r="H21" s="113"/>
      <c r="I21" s="114"/>
      <c r="J21" s="115"/>
      <c r="K21" s="126"/>
      <c r="L21" s="127"/>
      <c r="M21" s="12" t="str">
        <f t="shared" si="1"/>
        <v/>
      </c>
      <c r="N21" s="32"/>
      <c r="O21" s="29" t="s">
        <v>63</v>
      </c>
      <c r="P21" s="30">
        <f>DATE($O$9,5,3)</f>
        <v>124</v>
      </c>
      <c r="Q21" s="31">
        <f>+P21</f>
        <v>124</v>
      </c>
    </row>
    <row r="22" spans="1:17" ht="21.75" customHeight="1" x14ac:dyDescent="0.15">
      <c r="A22" s="8"/>
      <c r="B22" s="111" t="str">
        <f t="shared" si="2"/>
        <v/>
      </c>
      <c r="C22" s="112"/>
      <c r="D22" s="46" t="str">
        <f t="shared" si="0"/>
        <v/>
      </c>
      <c r="E22" s="50"/>
      <c r="F22" s="51"/>
      <c r="G22" s="113" t="str">
        <f t="shared" si="3"/>
        <v/>
      </c>
      <c r="H22" s="113"/>
      <c r="I22" s="114"/>
      <c r="J22" s="115"/>
      <c r="K22" s="126"/>
      <c r="L22" s="127"/>
      <c r="M22" s="12" t="str">
        <f t="shared" si="1"/>
        <v/>
      </c>
      <c r="N22" s="32"/>
      <c r="O22" s="29" t="s">
        <v>64</v>
      </c>
      <c r="P22" s="30">
        <f>DATE($O$9,5,4)</f>
        <v>125</v>
      </c>
      <c r="Q22" s="31">
        <f>+P22</f>
        <v>125</v>
      </c>
    </row>
    <row r="23" spans="1:17" ht="21.75" customHeight="1" x14ac:dyDescent="0.15">
      <c r="A23" s="8"/>
      <c r="B23" s="111" t="str">
        <f t="shared" si="2"/>
        <v/>
      </c>
      <c r="C23" s="112"/>
      <c r="D23" s="46" t="str">
        <f t="shared" si="0"/>
        <v/>
      </c>
      <c r="E23" s="50"/>
      <c r="F23" s="51"/>
      <c r="G23" s="113" t="str">
        <f t="shared" si="3"/>
        <v/>
      </c>
      <c r="H23" s="113"/>
      <c r="I23" s="114"/>
      <c r="J23" s="115"/>
      <c r="K23" s="126"/>
      <c r="L23" s="127"/>
      <c r="M23" s="12" t="str">
        <f t="shared" si="1"/>
        <v/>
      </c>
      <c r="N23" s="32"/>
      <c r="O23" s="29" t="s">
        <v>65</v>
      </c>
      <c r="P23" s="30">
        <f>DATE($O$9,5,5)</f>
        <v>126</v>
      </c>
      <c r="Q23" s="31">
        <f>+P23</f>
        <v>126</v>
      </c>
    </row>
    <row r="24" spans="1:17" ht="21.75" customHeight="1" x14ac:dyDescent="0.15">
      <c r="A24" s="8"/>
      <c r="B24" s="111" t="str">
        <f t="shared" si="2"/>
        <v/>
      </c>
      <c r="C24" s="112"/>
      <c r="D24" s="46" t="str">
        <f t="shared" si="0"/>
        <v/>
      </c>
      <c r="E24" s="50"/>
      <c r="F24" s="51"/>
      <c r="G24" s="113" t="str">
        <f t="shared" si="3"/>
        <v/>
      </c>
      <c r="H24" s="113"/>
      <c r="I24" s="114"/>
      <c r="J24" s="115"/>
      <c r="K24" s="126"/>
      <c r="L24" s="127"/>
      <c r="M24" s="12" t="str">
        <f t="shared" si="1"/>
        <v/>
      </c>
      <c r="N24" s="32"/>
      <c r="O24" s="29"/>
      <c r="P24" s="30" t="str">
        <f>IF(WEEKDAY(P23,1)=1,P23+1,"")</f>
        <v/>
      </c>
      <c r="Q24" s="31" t="str">
        <f>IF(OR(P24=0,P24=""),"",+P24)</f>
        <v/>
      </c>
    </row>
    <row r="25" spans="1:17" ht="21.75" customHeight="1" x14ac:dyDescent="0.15">
      <c r="A25" s="8"/>
      <c r="B25" s="111" t="str">
        <f t="shared" si="2"/>
        <v/>
      </c>
      <c r="C25" s="112"/>
      <c r="D25" s="46" t="str">
        <f t="shared" si="0"/>
        <v/>
      </c>
      <c r="E25" s="50"/>
      <c r="F25" s="51"/>
      <c r="G25" s="113" t="str">
        <f t="shared" si="3"/>
        <v/>
      </c>
      <c r="H25" s="113"/>
      <c r="I25" s="114"/>
      <c r="J25" s="115"/>
      <c r="K25" s="126"/>
      <c r="L25" s="127"/>
      <c r="M25" s="12" t="str">
        <f t="shared" si="1"/>
        <v/>
      </c>
      <c r="N25" s="32"/>
      <c r="O25" s="29" t="s">
        <v>66</v>
      </c>
      <c r="P25" s="30">
        <f>DATE($O$9,7,7*3)-WEEKDAY(DATE($O$9,7,7*3),3)</f>
        <v>198</v>
      </c>
      <c r="Q25" s="31" t="s">
        <v>67</v>
      </c>
    </row>
    <row r="26" spans="1:17" ht="21.75" customHeight="1" x14ac:dyDescent="0.15">
      <c r="A26" s="8"/>
      <c r="B26" s="111" t="str">
        <f t="shared" si="2"/>
        <v/>
      </c>
      <c r="C26" s="112"/>
      <c r="D26" s="46" t="str">
        <f t="shared" si="0"/>
        <v/>
      </c>
      <c r="E26" s="50"/>
      <c r="F26" s="51"/>
      <c r="G26" s="113" t="str">
        <f t="shared" si="3"/>
        <v/>
      </c>
      <c r="H26" s="113"/>
      <c r="I26" s="114"/>
      <c r="J26" s="115"/>
      <c r="K26" s="126"/>
      <c r="L26" s="127"/>
      <c r="M26" s="12" t="str">
        <f t="shared" si="1"/>
        <v/>
      </c>
      <c r="N26" s="32"/>
      <c r="O26" s="29" t="s">
        <v>68</v>
      </c>
      <c r="P26" s="30">
        <f>DATE($O$9,8,11)</f>
        <v>224</v>
      </c>
      <c r="Q26" s="31">
        <f>+P26</f>
        <v>224</v>
      </c>
    </row>
    <row r="27" spans="1:17" ht="21.75" customHeight="1" x14ac:dyDescent="0.15">
      <c r="A27" s="8"/>
      <c r="B27" s="111" t="str">
        <f t="shared" si="2"/>
        <v/>
      </c>
      <c r="C27" s="112"/>
      <c r="D27" s="46" t="str">
        <f t="shared" si="0"/>
        <v/>
      </c>
      <c r="E27" s="50"/>
      <c r="F27" s="51"/>
      <c r="G27" s="113" t="str">
        <f t="shared" si="3"/>
        <v/>
      </c>
      <c r="H27" s="113"/>
      <c r="I27" s="114"/>
      <c r="J27" s="115"/>
      <c r="K27" s="126"/>
      <c r="L27" s="127"/>
      <c r="M27" s="12" t="str">
        <f t="shared" si="1"/>
        <v/>
      </c>
      <c r="N27" s="32"/>
      <c r="O27" s="29"/>
      <c r="P27" s="30" t="str">
        <f>IF(WEEKDAY(P26,1)=1,P26+1,"")</f>
        <v/>
      </c>
      <c r="Q27" s="31" t="str">
        <f>IF(OR(P27=0,P27=""),"",+P27)</f>
        <v/>
      </c>
    </row>
    <row r="28" spans="1:17" ht="21.75" customHeight="1" x14ac:dyDescent="0.15">
      <c r="A28" s="8"/>
      <c r="B28" s="111" t="str">
        <f t="shared" si="2"/>
        <v/>
      </c>
      <c r="C28" s="112"/>
      <c r="D28" s="46" t="str">
        <f t="shared" si="0"/>
        <v/>
      </c>
      <c r="E28" s="50"/>
      <c r="F28" s="51"/>
      <c r="G28" s="113" t="str">
        <f t="shared" si="3"/>
        <v/>
      </c>
      <c r="H28" s="113"/>
      <c r="I28" s="114"/>
      <c r="J28" s="115"/>
      <c r="K28" s="126"/>
      <c r="L28" s="127"/>
      <c r="M28" s="12" t="str">
        <f t="shared" si="1"/>
        <v/>
      </c>
      <c r="N28" s="32"/>
      <c r="O28" s="29" t="s">
        <v>69</v>
      </c>
      <c r="P28" s="30">
        <f>DATE($O$9,9,7*3)-WEEKDAY(DATE($O$9,9,7*3),3)</f>
        <v>261</v>
      </c>
      <c r="Q28" s="31" t="s">
        <v>67</v>
      </c>
    </row>
    <row r="29" spans="1:17" ht="21.75" customHeight="1" x14ac:dyDescent="0.15">
      <c r="A29" s="8"/>
      <c r="B29" s="111" t="str">
        <f t="shared" si="2"/>
        <v/>
      </c>
      <c r="C29" s="112"/>
      <c r="D29" s="46" t="str">
        <f t="shared" si="0"/>
        <v/>
      </c>
      <c r="E29" s="50"/>
      <c r="F29" s="51"/>
      <c r="G29" s="113" t="str">
        <f t="shared" si="3"/>
        <v/>
      </c>
      <c r="H29" s="113"/>
      <c r="I29" s="114"/>
      <c r="J29" s="115"/>
      <c r="K29" s="126"/>
      <c r="L29" s="127"/>
      <c r="M29" s="12" t="str">
        <f t="shared" si="1"/>
        <v/>
      </c>
      <c r="N29" s="32"/>
      <c r="O29" s="29" t="s">
        <v>70</v>
      </c>
      <c r="P29" s="30">
        <f>DATE($O$9,9,INT(23.2488+0.242194*($O$9-1980)-INT(($O$9-1980)/4)))</f>
        <v>282</v>
      </c>
      <c r="Q29" s="31">
        <f>+P29</f>
        <v>282</v>
      </c>
    </row>
    <row r="30" spans="1:17" ht="21.75" customHeight="1" x14ac:dyDescent="0.15">
      <c r="A30" s="8"/>
      <c r="B30" s="111" t="str">
        <f t="shared" si="2"/>
        <v/>
      </c>
      <c r="C30" s="112"/>
      <c r="D30" s="46" t="str">
        <f t="shared" si="0"/>
        <v/>
      </c>
      <c r="E30" s="50"/>
      <c r="F30" s="51"/>
      <c r="G30" s="113" t="str">
        <f t="shared" si="3"/>
        <v/>
      </c>
      <c r="H30" s="113"/>
      <c r="I30" s="114"/>
      <c r="J30" s="115"/>
      <c r="K30" s="126"/>
      <c r="L30" s="127"/>
      <c r="M30" s="12" t="str">
        <f t="shared" si="1"/>
        <v/>
      </c>
      <c r="N30" s="32"/>
      <c r="O30" s="29"/>
      <c r="P30" s="30" t="str">
        <f>IF(WEEKDAY(P29,1)=1,P29+1,"")</f>
        <v/>
      </c>
      <c r="Q30" s="31" t="str">
        <f>IF(OR(P30=0,P30=""),"",+P30)</f>
        <v/>
      </c>
    </row>
    <row r="31" spans="1:17" ht="21.75" customHeight="1" x14ac:dyDescent="0.15">
      <c r="A31" s="8"/>
      <c r="B31" s="111" t="str">
        <f t="shared" si="2"/>
        <v/>
      </c>
      <c r="C31" s="112"/>
      <c r="D31" s="46" t="str">
        <f t="shared" si="0"/>
        <v/>
      </c>
      <c r="E31" s="50"/>
      <c r="F31" s="51"/>
      <c r="G31" s="113" t="str">
        <f t="shared" si="3"/>
        <v/>
      </c>
      <c r="H31" s="113"/>
      <c r="I31" s="114"/>
      <c r="J31" s="115"/>
      <c r="K31" s="126"/>
      <c r="L31" s="127"/>
      <c r="M31" s="12" t="str">
        <f t="shared" si="1"/>
        <v/>
      </c>
      <c r="N31" s="32"/>
      <c r="O31" s="29" t="s">
        <v>71</v>
      </c>
      <c r="P31" s="30">
        <f>DATE($O$9,10,7*2)-WEEKDAY(DATE($O$9,10,7*2),3)</f>
        <v>282</v>
      </c>
      <c r="Q31" s="31" t="s">
        <v>58</v>
      </c>
    </row>
    <row r="32" spans="1:17" ht="21.75" customHeight="1" x14ac:dyDescent="0.15">
      <c r="A32" s="8"/>
      <c r="B32" s="111" t="str">
        <f t="shared" si="2"/>
        <v/>
      </c>
      <c r="C32" s="112"/>
      <c r="D32" s="46" t="str">
        <f t="shared" si="0"/>
        <v/>
      </c>
      <c r="E32" s="50"/>
      <c r="F32" s="51"/>
      <c r="G32" s="113" t="str">
        <f t="shared" si="3"/>
        <v/>
      </c>
      <c r="H32" s="113"/>
      <c r="I32" s="114"/>
      <c r="J32" s="115"/>
      <c r="K32" s="126"/>
      <c r="L32" s="127"/>
      <c r="M32" s="12" t="str">
        <f t="shared" si="1"/>
        <v/>
      </c>
      <c r="N32" s="32"/>
      <c r="O32" s="29" t="s">
        <v>72</v>
      </c>
      <c r="P32" s="30">
        <f>DATE($O$9,11,3)</f>
        <v>308</v>
      </c>
      <c r="Q32" s="31">
        <f>+P32</f>
        <v>308</v>
      </c>
    </row>
    <row r="33" spans="1:17" ht="21.75" customHeight="1" x14ac:dyDescent="0.15">
      <c r="A33" s="8"/>
      <c r="B33" s="111" t="str">
        <f t="shared" si="2"/>
        <v/>
      </c>
      <c r="C33" s="112"/>
      <c r="D33" s="46" t="str">
        <f t="shared" si="0"/>
        <v/>
      </c>
      <c r="E33" s="50"/>
      <c r="F33" s="51"/>
      <c r="G33" s="113" t="str">
        <f t="shared" si="3"/>
        <v/>
      </c>
      <c r="H33" s="113"/>
      <c r="I33" s="114"/>
      <c r="J33" s="115"/>
      <c r="K33" s="126"/>
      <c r="L33" s="127"/>
      <c r="M33" s="12" t="str">
        <f t="shared" si="1"/>
        <v/>
      </c>
      <c r="N33" s="32"/>
      <c r="O33" s="29"/>
      <c r="P33" s="30" t="str">
        <f>IF(WEEKDAY(P32,1)=1,P32+1,"")</f>
        <v/>
      </c>
      <c r="Q33" s="31" t="str">
        <f>IF(OR(P33=0,P33=""),"",+P33)</f>
        <v/>
      </c>
    </row>
    <row r="34" spans="1:17" ht="21.75" customHeight="1" x14ac:dyDescent="0.15">
      <c r="A34" s="8"/>
      <c r="B34" s="111" t="str">
        <f t="shared" si="2"/>
        <v/>
      </c>
      <c r="C34" s="112"/>
      <c r="D34" s="46" t="str">
        <f t="shared" si="0"/>
        <v/>
      </c>
      <c r="E34" s="50"/>
      <c r="F34" s="51"/>
      <c r="G34" s="113" t="str">
        <f t="shared" si="3"/>
        <v/>
      </c>
      <c r="H34" s="113"/>
      <c r="I34" s="114"/>
      <c r="J34" s="115"/>
      <c r="K34" s="126"/>
      <c r="L34" s="127"/>
      <c r="M34" s="12" t="str">
        <f t="shared" si="1"/>
        <v/>
      </c>
      <c r="N34" s="32"/>
      <c r="O34" s="29" t="s">
        <v>73</v>
      </c>
      <c r="P34" s="30">
        <f>DATE($O$9,11,23)</f>
        <v>328</v>
      </c>
      <c r="Q34" s="31">
        <f>+P34</f>
        <v>328</v>
      </c>
    </row>
    <row r="35" spans="1:17" ht="21.75" customHeight="1" x14ac:dyDescent="0.15">
      <c r="A35" s="8"/>
      <c r="B35" s="111" t="str">
        <f t="shared" si="2"/>
        <v/>
      </c>
      <c r="C35" s="112"/>
      <c r="D35" s="46" t="str">
        <f t="shared" si="0"/>
        <v/>
      </c>
      <c r="E35" s="50"/>
      <c r="F35" s="51"/>
      <c r="G35" s="113" t="str">
        <f t="shared" si="3"/>
        <v/>
      </c>
      <c r="H35" s="113"/>
      <c r="I35" s="114"/>
      <c r="J35" s="115"/>
      <c r="K35" s="126"/>
      <c r="L35" s="127"/>
      <c r="M35" s="12" t="str">
        <f t="shared" si="1"/>
        <v/>
      </c>
      <c r="N35" s="32"/>
      <c r="O35" s="29"/>
      <c r="P35" s="30" t="str">
        <f>IF(WEEKDAY(P34,1)=1,P34+1,"")</f>
        <v/>
      </c>
      <c r="Q35" s="31" t="str">
        <f>IF(OR(P35=0,P35=""),"",+P35)</f>
        <v/>
      </c>
    </row>
    <row r="36" spans="1:17" ht="21.75" customHeight="1" x14ac:dyDescent="0.15">
      <c r="A36" s="8"/>
      <c r="B36" s="111" t="str">
        <f t="shared" si="2"/>
        <v/>
      </c>
      <c r="C36" s="112"/>
      <c r="D36" s="46" t="str">
        <f t="shared" si="0"/>
        <v/>
      </c>
      <c r="E36" s="50"/>
      <c r="F36" s="51"/>
      <c r="G36" s="113" t="str">
        <f t="shared" si="3"/>
        <v/>
      </c>
      <c r="H36" s="113"/>
      <c r="I36" s="114"/>
      <c r="J36" s="115"/>
      <c r="K36" s="126"/>
      <c r="L36" s="127"/>
      <c r="M36" s="12" t="str">
        <f t="shared" si="1"/>
        <v/>
      </c>
      <c r="N36" s="32"/>
    </row>
    <row r="37" spans="1:17" ht="21.75" customHeight="1" x14ac:dyDescent="0.15">
      <c r="A37" s="8"/>
      <c r="B37" s="111" t="str">
        <f t="shared" si="2"/>
        <v/>
      </c>
      <c r="C37" s="112"/>
      <c r="D37" s="46" t="str">
        <f t="shared" si="0"/>
        <v/>
      </c>
      <c r="E37" s="50"/>
      <c r="F37" s="51"/>
      <c r="G37" s="113" t="str">
        <f t="shared" si="3"/>
        <v/>
      </c>
      <c r="H37" s="113"/>
      <c r="I37" s="114"/>
      <c r="J37" s="115"/>
      <c r="K37" s="126"/>
      <c r="L37" s="127"/>
      <c r="M37" s="12" t="str">
        <f t="shared" si="1"/>
        <v/>
      </c>
      <c r="N37" s="32"/>
    </row>
    <row r="38" spans="1:17" ht="21.75" customHeight="1" x14ac:dyDescent="0.15">
      <c r="A38" s="8"/>
      <c r="B38" s="111" t="str">
        <f t="shared" si="2"/>
        <v/>
      </c>
      <c r="C38" s="112"/>
      <c r="D38" s="46" t="str">
        <f t="shared" si="0"/>
        <v/>
      </c>
      <c r="E38" s="50"/>
      <c r="F38" s="51"/>
      <c r="G38" s="113" t="str">
        <f t="shared" si="3"/>
        <v/>
      </c>
      <c r="H38" s="113"/>
      <c r="I38" s="114"/>
      <c r="J38" s="115"/>
      <c r="K38" s="126"/>
      <c r="L38" s="127"/>
      <c r="M38" s="12" t="str">
        <f t="shared" si="1"/>
        <v/>
      </c>
      <c r="N38" s="32"/>
    </row>
    <row r="39" spans="1:17" ht="21.75" customHeight="1" x14ac:dyDescent="0.15">
      <c r="A39" s="8"/>
      <c r="B39" s="111" t="str">
        <f>IF(B38="","",IF(B38=EOMONTH($B$11,0),"",B38+1))</f>
        <v/>
      </c>
      <c r="C39" s="112"/>
      <c r="D39" s="46" t="str">
        <f t="shared" si="0"/>
        <v/>
      </c>
      <c r="E39" s="50"/>
      <c r="F39" s="51"/>
      <c r="G39" s="113" t="str">
        <f t="shared" si="3"/>
        <v/>
      </c>
      <c r="H39" s="113"/>
      <c r="I39" s="114"/>
      <c r="J39" s="115"/>
      <c r="K39" s="126"/>
      <c r="L39" s="127"/>
      <c r="M39" s="12" t="str">
        <f t="shared" si="1"/>
        <v/>
      </c>
      <c r="N39" s="32"/>
    </row>
    <row r="40" spans="1:17" ht="21.75" customHeight="1" x14ac:dyDescent="0.15">
      <c r="A40" s="8"/>
      <c r="B40" s="111" t="str">
        <f>IF(B39="","",IF(OR(B39="",B39=EOMONTH($B$11,0)),"",B39+1))</f>
        <v/>
      </c>
      <c r="C40" s="112"/>
      <c r="D40" s="46" t="str">
        <f t="shared" si="0"/>
        <v/>
      </c>
      <c r="E40" s="50"/>
      <c r="F40" s="51"/>
      <c r="G40" s="113" t="str">
        <f t="shared" si="3"/>
        <v/>
      </c>
      <c r="H40" s="113"/>
      <c r="I40" s="114"/>
      <c r="J40" s="115"/>
      <c r="K40" s="118"/>
      <c r="L40" s="119"/>
      <c r="M40" s="12" t="str">
        <f t="shared" si="1"/>
        <v/>
      </c>
      <c r="N40" s="32"/>
      <c r="O40" s="13"/>
    </row>
    <row r="41" spans="1:17" ht="21.75" customHeight="1" x14ac:dyDescent="0.15">
      <c r="A41" s="8"/>
      <c r="B41" s="128" t="str">
        <f>IF(B40="","",IF(OR(B40="",B40=EOMONTH($B$11,0)),"",B40+1))</f>
        <v/>
      </c>
      <c r="C41" s="129"/>
      <c r="D41" s="45" t="str">
        <f t="shared" si="0"/>
        <v/>
      </c>
      <c r="E41" s="54"/>
      <c r="F41" s="55"/>
      <c r="G41" s="130"/>
      <c r="H41" s="130"/>
      <c r="I41" s="131"/>
      <c r="J41" s="132"/>
      <c r="K41" s="133"/>
      <c r="L41" s="134"/>
      <c r="M41" s="12" t="str">
        <f t="shared" si="1"/>
        <v/>
      </c>
      <c r="N41" s="32"/>
    </row>
    <row r="42" spans="1:17" ht="11.25" customHeight="1" x14ac:dyDescent="0.15">
      <c r="A42" s="10"/>
      <c r="B42" s="63"/>
      <c r="C42" s="63"/>
      <c r="D42" s="32"/>
      <c r="E42" s="64"/>
      <c r="F42" s="57"/>
      <c r="G42" s="66"/>
      <c r="H42" s="66"/>
      <c r="I42" s="65"/>
      <c r="J42" s="65"/>
      <c r="K42" s="32"/>
      <c r="L42" s="32"/>
      <c r="M42" s="67"/>
      <c r="N42" s="32"/>
    </row>
    <row r="43" spans="1:17" ht="22.5" customHeight="1" x14ac:dyDescent="0.15">
      <c r="C43" s="14"/>
      <c r="F43" s="15" t="s">
        <v>93</v>
      </c>
      <c r="G43" s="135">
        <f>COUNTIF(G11:G41,"真夏日")</f>
        <v>0</v>
      </c>
      <c r="H43" s="135"/>
      <c r="I43" s="33"/>
      <c r="J43" s="33"/>
      <c r="M43" s="32"/>
    </row>
    <row r="44" spans="1:17" ht="23.25" customHeight="1" x14ac:dyDescent="0.15">
      <c r="C44" s="14"/>
      <c r="F44" s="15" t="s">
        <v>111</v>
      </c>
      <c r="G44" s="136">
        <f>COUNTA(E11:E41)-COUNTIF(I11:J41,"年末年始")-COUNTIF(I11:J41,"夏季休暇")-COUNTIF(I11:J41,"工場製作")-COUNTIF(I11:J41,"一時中止")-COUNTIF(I11:J41,"その他対象外")</f>
        <v>0</v>
      </c>
      <c r="H44" s="136"/>
    </row>
    <row r="45" spans="1:17" x14ac:dyDescent="0.15">
      <c r="C45" s="14"/>
    </row>
    <row r="46" spans="1:17" x14ac:dyDescent="0.15">
      <c r="C46" s="14"/>
    </row>
    <row r="47" spans="1:17" x14ac:dyDescent="0.15">
      <c r="C47" s="14"/>
    </row>
    <row r="48" spans="1:17" x14ac:dyDescent="0.15">
      <c r="C48" s="14"/>
    </row>
    <row r="49" spans="3:3" x14ac:dyDescent="0.15">
      <c r="C49" s="14"/>
    </row>
    <row r="50" spans="3:3" x14ac:dyDescent="0.15">
      <c r="C50" s="14"/>
    </row>
    <row r="51" spans="3:3" x14ac:dyDescent="0.15">
      <c r="C51" s="14"/>
    </row>
    <row r="52" spans="3:3" x14ac:dyDescent="0.15">
      <c r="C52" s="14"/>
    </row>
  </sheetData>
  <mergeCells count="140">
    <mergeCell ref="B41:C41"/>
    <mergeCell ref="G41:H41"/>
    <mergeCell ref="I41:J41"/>
    <mergeCell ref="K41:L41"/>
    <mergeCell ref="G43:H43"/>
    <mergeCell ref="G44:H44"/>
    <mergeCell ref="B39:C39"/>
    <mergeCell ref="G39:H39"/>
    <mergeCell ref="I39:J39"/>
    <mergeCell ref="K39:L39"/>
    <mergeCell ref="B40:C40"/>
    <mergeCell ref="G40:H40"/>
    <mergeCell ref="I40:J40"/>
    <mergeCell ref="K40:L40"/>
    <mergeCell ref="B37:C37"/>
    <mergeCell ref="G37:H37"/>
    <mergeCell ref="I37:J37"/>
    <mergeCell ref="K37:L37"/>
    <mergeCell ref="B38:C38"/>
    <mergeCell ref="G38:H38"/>
    <mergeCell ref="I38:J38"/>
    <mergeCell ref="K38:L38"/>
    <mergeCell ref="B35:C35"/>
    <mergeCell ref="G35:H35"/>
    <mergeCell ref="I35:J35"/>
    <mergeCell ref="K35:L35"/>
    <mergeCell ref="B36:C36"/>
    <mergeCell ref="G36:H36"/>
    <mergeCell ref="I36:J36"/>
    <mergeCell ref="K36:L36"/>
    <mergeCell ref="B33:C33"/>
    <mergeCell ref="G33:H33"/>
    <mergeCell ref="I33:J33"/>
    <mergeCell ref="K33:L33"/>
    <mergeCell ref="B34:C34"/>
    <mergeCell ref="G34:H34"/>
    <mergeCell ref="I34:J34"/>
    <mergeCell ref="K34:L34"/>
    <mergeCell ref="B31:C31"/>
    <mergeCell ref="G31:H31"/>
    <mergeCell ref="I31:J31"/>
    <mergeCell ref="K31:L31"/>
    <mergeCell ref="B32:C32"/>
    <mergeCell ref="G32:H32"/>
    <mergeCell ref="I32:J32"/>
    <mergeCell ref="K32:L32"/>
    <mergeCell ref="B29:C29"/>
    <mergeCell ref="G29:H29"/>
    <mergeCell ref="I29:J29"/>
    <mergeCell ref="K29:L29"/>
    <mergeCell ref="B30:C30"/>
    <mergeCell ref="G30:H30"/>
    <mergeCell ref="I30:J30"/>
    <mergeCell ref="K30:L30"/>
    <mergeCell ref="B27:C27"/>
    <mergeCell ref="G27:H27"/>
    <mergeCell ref="I27:J27"/>
    <mergeCell ref="K27:L27"/>
    <mergeCell ref="B28:C28"/>
    <mergeCell ref="G28:H28"/>
    <mergeCell ref="I28:J28"/>
    <mergeCell ref="K28:L28"/>
    <mergeCell ref="B25:C25"/>
    <mergeCell ref="G25:H25"/>
    <mergeCell ref="I25:J25"/>
    <mergeCell ref="K25:L25"/>
    <mergeCell ref="B26:C26"/>
    <mergeCell ref="G26:H26"/>
    <mergeCell ref="I26:J26"/>
    <mergeCell ref="K26:L26"/>
    <mergeCell ref="B23:C23"/>
    <mergeCell ref="G23:H23"/>
    <mergeCell ref="I23:J23"/>
    <mergeCell ref="K23:L23"/>
    <mergeCell ref="B24:C24"/>
    <mergeCell ref="G24:H24"/>
    <mergeCell ref="I24:J24"/>
    <mergeCell ref="K24:L24"/>
    <mergeCell ref="B21:C21"/>
    <mergeCell ref="G21:H21"/>
    <mergeCell ref="I21:J21"/>
    <mergeCell ref="K21:L21"/>
    <mergeCell ref="B22:C22"/>
    <mergeCell ref="G22:H22"/>
    <mergeCell ref="I22:J22"/>
    <mergeCell ref="K22:L22"/>
    <mergeCell ref="B19:C19"/>
    <mergeCell ref="G19:H19"/>
    <mergeCell ref="I19:J19"/>
    <mergeCell ref="K19:L19"/>
    <mergeCell ref="B20:C20"/>
    <mergeCell ref="G20:H20"/>
    <mergeCell ref="I20:J20"/>
    <mergeCell ref="K20:L20"/>
    <mergeCell ref="B17:C17"/>
    <mergeCell ref="G17:H17"/>
    <mergeCell ref="I17:J17"/>
    <mergeCell ref="K17:L17"/>
    <mergeCell ref="B18:C18"/>
    <mergeCell ref="G18:H18"/>
    <mergeCell ref="I18:J18"/>
    <mergeCell ref="K18:L18"/>
    <mergeCell ref="B15:C15"/>
    <mergeCell ref="G15:H15"/>
    <mergeCell ref="I15:J15"/>
    <mergeCell ref="K15:L15"/>
    <mergeCell ref="B16:C16"/>
    <mergeCell ref="G16:H16"/>
    <mergeCell ref="I16:J16"/>
    <mergeCell ref="K16:L16"/>
    <mergeCell ref="B13:C13"/>
    <mergeCell ref="G13:H13"/>
    <mergeCell ref="I13:J13"/>
    <mergeCell ref="K13:L13"/>
    <mergeCell ref="B14:C14"/>
    <mergeCell ref="G14:H14"/>
    <mergeCell ref="I14:J14"/>
    <mergeCell ref="K14:L14"/>
    <mergeCell ref="B11:C11"/>
    <mergeCell ref="G11:H11"/>
    <mergeCell ref="I11:J11"/>
    <mergeCell ref="K11:L11"/>
    <mergeCell ref="B12:C12"/>
    <mergeCell ref="G12:H12"/>
    <mergeCell ref="I12:J12"/>
    <mergeCell ref="K12:L12"/>
    <mergeCell ref="B1:E2"/>
    <mergeCell ref="M1:R2"/>
    <mergeCell ref="C8:D8"/>
    <mergeCell ref="E8:K8"/>
    <mergeCell ref="B10:C10"/>
    <mergeCell ref="G10:H10"/>
    <mergeCell ref="I10:J10"/>
    <mergeCell ref="K10:L10"/>
    <mergeCell ref="C5:D5"/>
    <mergeCell ref="E5:K5"/>
    <mergeCell ref="C6:D6"/>
    <mergeCell ref="E6:K6"/>
    <mergeCell ref="C7:D7"/>
    <mergeCell ref="E7:K7"/>
  </mergeCells>
  <phoneticPr fontId="2"/>
  <conditionalFormatting sqref="O11:O15 O17:O26 O28:O34">
    <cfRule type="cellIs" dxfId="59" priority="19" stopIfTrue="1" operator="equal">
      <formula>"振替休日"</formula>
    </cfRule>
  </conditionalFormatting>
  <conditionalFormatting sqref="P12:P13 Q12:Q15">
    <cfRule type="expression" dxfId="58" priority="16" stopIfTrue="1">
      <formula>$CJ43="振替休日"</formula>
    </cfRule>
  </conditionalFormatting>
  <conditionalFormatting sqref="P17 P19 P21 P25">
    <cfRule type="expression" dxfId="57" priority="17" stopIfTrue="1">
      <formula>$CJ46="振替休日"</formula>
    </cfRule>
    <cfRule type="cellIs" dxfId="56" priority="18" stopIfTrue="1" operator="equal">
      <formula>0</formula>
    </cfRule>
  </conditionalFormatting>
  <conditionalFormatting sqref="P22:P23 Q17:Q26">
    <cfRule type="expression" dxfId="55" priority="20" stopIfTrue="1">
      <formula>$CJ46="振替休日"</formula>
    </cfRule>
  </conditionalFormatting>
  <conditionalFormatting sqref="P15">
    <cfRule type="expression" dxfId="54" priority="21" stopIfTrue="1">
      <formula>$CJ63="振替休日"</formula>
    </cfRule>
    <cfRule type="cellIs" dxfId="53" priority="22" stopIfTrue="1" operator="equal">
      <formula>0</formula>
    </cfRule>
  </conditionalFormatting>
  <conditionalFormatting sqref="Q15">
    <cfRule type="expression" dxfId="52" priority="23" stopIfTrue="1">
      <formula>$CJ63="振替休日"</formula>
    </cfRule>
  </conditionalFormatting>
  <conditionalFormatting sqref="P11:Q11">
    <cfRule type="expression" dxfId="51" priority="24" stopIfTrue="1">
      <formula>$CJ39="振替休日"</formula>
    </cfRule>
  </conditionalFormatting>
  <conditionalFormatting sqref="O16">
    <cfRule type="cellIs" dxfId="50" priority="15" stopIfTrue="1" operator="equal">
      <formula>"振替休日"</formula>
    </cfRule>
  </conditionalFormatting>
  <conditionalFormatting sqref="P16:Q16">
    <cfRule type="expression" dxfId="49" priority="14" stopIfTrue="1">
      <formula>$CJ47="振替休日"</formula>
    </cfRule>
  </conditionalFormatting>
  <conditionalFormatting sqref="P34 P31">
    <cfRule type="expression" dxfId="48" priority="25" stopIfTrue="1">
      <formula>$CJ58="振替休日"</formula>
    </cfRule>
    <cfRule type="cellIs" dxfId="47" priority="26" stopIfTrue="1" operator="equal">
      <formula>0</formula>
    </cfRule>
  </conditionalFormatting>
  <conditionalFormatting sqref="P32 Q28:Q34 P28:P29">
    <cfRule type="expression" dxfId="46" priority="27" stopIfTrue="1">
      <formula>$CJ55="振替休日"</formula>
    </cfRule>
  </conditionalFormatting>
  <conditionalFormatting sqref="P26">
    <cfRule type="expression" dxfId="45" priority="13" stopIfTrue="1">
      <formula>$CJ55="振替休日"</formula>
    </cfRule>
  </conditionalFormatting>
  <conditionalFormatting sqref="O27">
    <cfRule type="cellIs" dxfId="44" priority="11" stopIfTrue="1" operator="equal">
      <formula>"振替休日"</formula>
    </cfRule>
  </conditionalFormatting>
  <conditionalFormatting sqref="Q27">
    <cfRule type="expression" dxfId="43" priority="12" stopIfTrue="1">
      <formula>$CJ54="振替休日"</formula>
    </cfRule>
  </conditionalFormatting>
  <conditionalFormatting sqref="O35">
    <cfRule type="cellIs" dxfId="42" priority="9" stopIfTrue="1" operator="equal">
      <formula>"振替休日"</formula>
    </cfRule>
  </conditionalFormatting>
  <conditionalFormatting sqref="Q35">
    <cfRule type="expression" dxfId="41" priority="10" stopIfTrue="1">
      <formula>$CJ62="振替休日"</formula>
    </cfRule>
  </conditionalFormatting>
  <conditionalFormatting sqref="K11:L42 D11:I42 B11:B42">
    <cfRule type="expression" dxfId="40" priority="28">
      <formula>$D11="土"</formula>
    </cfRule>
    <cfRule type="expression" dxfId="39" priority="29">
      <formula>$D11="日"</formula>
    </cfRule>
    <cfRule type="expression" dxfId="38" priority="30">
      <formula>$M11&lt;&gt;""</formula>
    </cfRule>
  </conditionalFormatting>
  <conditionalFormatting sqref="P14">
    <cfRule type="expression" dxfId="37" priority="8" stopIfTrue="1">
      <formula>$CJ45="振替休日"</formula>
    </cfRule>
  </conditionalFormatting>
  <conditionalFormatting sqref="P18">
    <cfRule type="expression" dxfId="36" priority="7" stopIfTrue="1">
      <formula>$CJ49="振替休日"</formula>
    </cfRule>
  </conditionalFormatting>
  <conditionalFormatting sqref="P20">
    <cfRule type="expression" dxfId="35" priority="6" stopIfTrue="1">
      <formula>$CJ51="振替休日"</formula>
    </cfRule>
  </conditionalFormatting>
  <conditionalFormatting sqref="P24">
    <cfRule type="expression" dxfId="34" priority="5" stopIfTrue="1">
      <formula>$CJ55="振替休日"</formula>
    </cfRule>
  </conditionalFormatting>
  <conditionalFormatting sqref="P27">
    <cfRule type="expression" dxfId="33" priority="4" stopIfTrue="1">
      <formula>$CJ58="振替休日"</formula>
    </cfRule>
  </conditionalFormatting>
  <conditionalFormatting sqref="P30">
    <cfRule type="expression" dxfId="32" priority="3" stopIfTrue="1">
      <formula>$CJ61="振替休日"</formula>
    </cfRule>
  </conditionalFormatting>
  <conditionalFormatting sqref="P33">
    <cfRule type="expression" dxfId="31" priority="2" stopIfTrue="1">
      <formula>$CJ64="振替休日"</formula>
    </cfRule>
  </conditionalFormatting>
  <conditionalFormatting sqref="P35">
    <cfRule type="expression" dxfId="30" priority="1" stopIfTrue="1">
      <formula>$CJ66="振替休日"</formula>
    </cfRule>
  </conditionalFormatting>
  <dataValidations count="2">
    <dataValidation type="list" allowBlank="1" showInputMessage="1" showErrorMessage="1" sqref="E8:K8" xr:uid="{8A84B2C2-EE6F-4F90-A41D-8DA085DDCD3C}">
      <formula1>"和歌山,友ヶ島"</formula1>
    </dataValidation>
    <dataValidation type="list" allowBlank="1" showInputMessage="1" showErrorMessage="1" sqref="I11:J42" xr:uid="{19DCE304-FFB4-4ED2-8A2E-404C2971B31F}">
      <formula1>"休工日,年末年始,夏季休暇,工場製作,一時中止,その他対象外"</formula1>
    </dataValidation>
  </dataValidations>
  <pageMargins left="1.1023622047244095" right="0.70866141732283472" top="0.74803149606299213" bottom="0.74803149606299213" header="0.31496062992125984" footer="0.31496062992125984"/>
  <pageSetup paperSize="9" scale="85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393F-04FB-4B61-A126-837283D15D02}">
  <sheetPr>
    <tabColor theme="4"/>
    <pageSetUpPr fitToPage="1"/>
  </sheetPr>
  <dimension ref="A1:Q52"/>
  <sheetViews>
    <sheetView view="pageBreakPreview" zoomScale="70" zoomScaleNormal="85" zoomScaleSheetLayoutView="70" workbookViewId="0">
      <selection activeCell="P7" sqref="P7"/>
    </sheetView>
  </sheetViews>
  <sheetFormatPr defaultRowHeight="13.5" x14ac:dyDescent="0.15"/>
  <cols>
    <col min="1" max="1" width="2.875" customWidth="1"/>
    <col min="2" max="3" width="6.25" customWidth="1"/>
    <col min="4" max="4" width="6.75" style="2" customWidth="1"/>
    <col min="5" max="6" width="17" customWidth="1"/>
    <col min="7" max="7" width="9" customWidth="1"/>
    <col min="8" max="8" width="5" customWidth="1"/>
    <col min="9" max="9" width="9" customWidth="1"/>
    <col min="10" max="10" width="5.625" customWidth="1"/>
    <col min="11" max="11" width="9" customWidth="1"/>
    <col min="12" max="12" width="5.625" customWidth="1"/>
    <col min="13" max="13" width="11.625" style="1" bestFit="1" customWidth="1"/>
    <col min="14" max="14" width="7.25" style="1" customWidth="1"/>
    <col min="15" max="15" width="12.625" customWidth="1"/>
    <col min="16" max="16" width="14.875" bestFit="1" customWidth="1"/>
    <col min="17" max="17" width="12.625" customWidth="1"/>
  </cols>
  <sheetData>
    <row r="1" spans="1:17" ht="19.5" customHeight="1" x14ac:dyDescent="0.15">
      <c r="B1" s="100" t="s">
        <v>0</v>
      </c>
      <c r="C1" s="100"/>
      <c r="D1" s="100"/>
      <c r="E1" s="100"/>
      <c r="L1" s="1"/>
      <c r="N1"/>
    </row>
    <row r="2" spans="1:17" ht="19.5" customHeight="1" x14ac:dyDescent="0.15">
      <c r="B2" s="100"/>
      <c r="C2" s="100"/>
      <c r="D2" s="100"/>
      <c r="E2" s="100"/>
      <c r="F2" s="2"/>
      <c r="G2" s="2"/>
      <c r="H2" s="2"/>
      <c r="I2" s="2"/>
      <c r="J2" s="2"/>
      <c r="L2" s="1"/>
      <c r="N2"/>
    </row>
    <row r="3" spans="1:17" ht="22.5" customHeight="1" x14ac:dyDescent="0.15">
      <c r="G3" s="32"/>
      <c r="H3" s="32"/>
      <c r="I3" s="58">
        <v>2024</v>
      </c>
      <c r="J3" s="35" t="s">
        <v>1</v>
      </c>
      <c r="K3" s="59">
        <v>8</v>
      </c>
      <c r="L3" s="4" t="s">
        <v>2</v>
      </c>
    </row>
    <row r="4" spans="1:17" ht="11.25" customHeight="1" x14ac:dyDescent="0.15">
      <c r="G4" s="32"/>
      <c r="H4" s="32"/>
      <c r="I4" s="57"/>
      <c r="J4" s="57"/>
      <c r="K4" s="57"/>
      <c r="L4" s="56"/>
    </row>
    <row r="5" spans="1:17" ht="22.5" customHeight="1" x14ac:dyDescent="0.15">
      <c r="C5" s="102" t="s">
        <v>3</v>
      </c>
      <c r="D5" s="102"/>
      <c r="E5" s="110" t="s">
        <v>95</v>
      </c>
      <c r="F5" s="110"/>
      <c r="G5" s="110"/>
      <c r="H5" s="110"/>
      <c r="I5" s="110"/>
      <c r="J5" s="110"/>
      <c r="K5" s="110"/>
      <c r="L5" s="41"/>
    </row>
    <row r="6" spans="1:17" ht="22.5" customHeight="1" x14ac:dyDescent="0.15">
      <c r="C6" s="102" t="s">
        <v>91</v>
      </c>
      <c r="D6" s="102"/>
      <c r="E6" s="110" t="s">
        <v>96</v>
      </c>
      <c r="F6" s="110"/>
      <c r="G6" s="110"/>
      <c r="H6" s="110"/>
      <c r="I6" s="110"/>
      <c r="J6" s="110"/>
      <c r="K6" s="110"/>
      <c r="L6" s="41"/>
    </row>
    <row r="7" spans="1:17" ht="22.5" customHeight="1" x14ac:dyDescent="0.15">
      <c r="C7" s="102" t="s">
        <v>92</v>
      </c>
      <c r="D7" s="102"/>
      <c r="E7" s="110" t="s">
        <v>97</v>
      </c>
      <c r="F7" s="110"/>
      <c r="G7" s="110"/>
      <c r="H7" s="110"/>
      <c r="I7" s="110"/>
      <c r="J7" s="110"/>
      <c r="K7" s="110"/>
      <c r="L7" s="41"/>
    </row>
    <row r="8" spans="1:17" ht="22.5" customHeight="1" x14ac:dyDescent="0.15">
      <c r="C8" s="102" t="s">
        <v>4</v>
      </c>
      <c r="D8" s="102"/>
      <c r="E8" s="103" t="s">
        <v>98</v>
      </c>
      <c r="F8" s="103"/>
      <c r="G8" s="103"/>
      <c r="H8" s="103"/>
      <c r="I8" s="103"/>
      <c r="J8" s="103"/>
      <c r="K8" s="103"/>
      <c r="L8" s="42"/>
    </row>
    <row r="9" spans="1:17" ht="10.5" customHeight="1" x14ac:dyDescent="0.15">
      <c r="C9" s="56"/>
      <c r="D9" s="6"/>
      <c r="E9" s="5"/>
      <c r="F9" s="7"/>
      <c r="G9" s="7"/>
      <c r="H9" s="7"/>
      <c r="I9" s="7"/>
      <c r="J9" s="7"/>
      <c r="K9" s="7"/>
      <c r="O9">
        <f>I3</f>
        <v>2024</v>
      </c>
      <c r="P9" t="s">
        <v>74</v>
      </c>
    </row>
    <row r="10" spans="1:17" ht="36" customHeight="1" x14ac:dyDescent="0.15">
      <c r="A10" s="8"/>
      <c r="B10" s="89" t="s">
        <v>6</v>
      </c>
      <c r="C10" s="89"/>
      <c r="D10" s="62" t="s">
        <v>7</v>
      </c>
      <c r="E10" s="60" t="s">
        <v>8</v>
      </c>
      <c r="F10" s="61" t="s">
        <v>9</v>
      </c>
      <c r="G10" s="104" t="s">
        <v>10</v>
      </c>
      <c r="H10" s="105"/>
      <c r="I10" s="106" t="s">
        <v>75</v>
      </c>
      <c r="J10" s="107"/>
      <c r="K10" s="108" t="s">
        <v>11</v>
      </c>
      <c r="L10" s="109"/>
      <c r="M10" s="9" t="s">
        <v>12</v>
      </c>
      <c r="N10" s="32"/>
      <c r="O10" s="28" t="s">
        <v>54</v>
      </c>
      <c r="P10" s="28" t="s">
        <v>55</v>
      </c>
      <c r="Q10" s="28"/>
    </row>
    <row r="11" spans="1:17" ht="21.75" customHeight="1" x14ac:dyDescent="0.15">
      <c r="A11" s="8"/>
      <c r="B11" s="120">
        <f>IF(I3="","",DATE(I3,K3,1))</f>
        <v>45505</v>
      </c>
      <c r="C11" s="121"/>
      <c r="D11" s="11" t="str">
        <f t="shared" ref="D11:D41" si="0">TEXT(B11,"aaa")</f>
        <v>木</v>
      </c>
      <c r="E11" s="48"/>
      <c r="F11" s="49"/>
      <c r="G11" s="113" t="str">
        <f>_xlfn.IFS(I11="休工日","",I11="夏季休暇","",I11="年末年始","",I11="工場製作","",I11="一時中止","",I11="その他対象外","",TRUE,IF(E11&gt;=30,"真夏日",IF(F11&gt;=25,"真夏日","")))</f>
        <v/>
      </c>
      <c r="H11" s="113"/>
      <c r="I11" s="122"/>
      <c r="J11" s="123"/>
      <c r="K11" s="124"/>
      <c r="L11" s="125"/>
      <c r="M11" s="12" t="str">
        <f t="shared" ref="M11:M41" si="1">IF(COUNTIF($P$11:$P$35,B11)=1,"祝日","")</f>
        <v/>
      </c>
      <c r="N11" s="32"/>
      <c r="O11" s="29" t="s">
        <v>56</v>
      </c>
      <c r="P11" s="30">
        <f>DATE($O$9,1,1)</f>
        <v>45292</v>
      </c>
      <c r="Q11" s="31">
        <f>+P11</f>
        <v>45292</v>
      </c>
    </row>
    <row r="12" spans="1:17" ht="21.75" customHeight="1" x14ac:dyDescent="0.15">
      <c r="A12" s="8"/>
      <c r="B12" s="111">
        <f t="shared" ref="B12:B38" si="2">IF(B11="","",B11+1)</f>
        <v>45506</v>
      </c>
      <c r="C12" s="112"/>
      <c r="D12" s="38" t="str">
        <f t="shared" si="0"/>
        <v>金</v>
      </c>
      <c r="E12" s="50"/>
      <c r="F12" s="51"/>
      <c r="G12" s="113" t="str">
        <f t="shared" ref="G12:G40" si="3">_xlfn.IFS(I12="休工日","",I12="夏季休暇","",I12="年末年始","",I12="工場製作","",I12="一時中止","",I12="その他対象外","",TRUE,IF(E12&gt;=30,"真夏日",IF(F12&gt;=25,"真夏日","")))</f>
        <v/>
      </c>
      <c r="H12" s="113"/>
      <c r="I12" s="114"/>
      <c r="J12" s="115"/>
      <c r="K12" s="126"/>
      <c r="L12" s="127"/>
      <c r="M12" s="12" t="str">
        <f t="shared" si="1"/>
        <v/>
      </c>
      <c r="N12" s="32"/>
      <c r="O12" s="29" t="s">
        <v>57</v>
      </c>
      <c r="P12" s="30">
        <f>DATE($O$9,1,7*2)-WEEKDAY(DATE($O$9,1,7*2),3)</f>
        <v>45299</v>
      </c>
      <c r="Q12" s="31" t="s">
        <v>58</v>
      </c>
    </row>
    <row r="13" spans="1:17" ht="21.75" customHeight="1" x14ac:dyDescent="0.15">
      <c r="A13" s="8"/>
      <c r="B13" s="111">
        <f t="shared" si="2"/>
        <v>45507</v>
      </c>
      <c r="C13" s="112"/>
      <c r="D13" s="39" t="str">
        <f t="shared" si="0"/>
        <v>土</v>
      </c>
      <c r="E13" s="52"/>
      <c r="F13" s="53"/>
      <c r="G13" s="113" t="str">
        <f t="shared" si="3"/>
        <v/>
      </c>
      <c r="H13" s="113"/>
      <c r="I13" s="114"/>
      <c r="J13" s="115"/>
      <c r="K13" s="116"/>
      <c r="L13" s="117"/>
      <c r="M13" s="12" t="str">
        <f t="shared" si="1"/>
        <v/>
      </c>
      <c r="N13" s="32"/>
      <c r="O13" s="29" t="s">
        <v>59</v>
      </c>
      <c r="P13" s="30">
        <f>DATE($O$9,2,11)</f>
        <v>45333</v>
      </c>
      <c r="Q13" s="31">
        <f>+P13</f>
        <v>45333</v>
      </c>
    </row>
    <row r="14" spans="1:17" ht="21.75" customHeight="1" x14ac:dyDescent="0.15">
      <c r="A14" s="8"/>
      <c r="B14" s="111">
        <f t="shared" si="2"/>
        <v>45508</v>
      </c>
      <c r="C14" s="112"/>
      <c r="D14" s="38" t="str">
        <f t="shared" si="0"/>
        <v>日</v>
      </c>
      <c r="E14" s="50"/>
      <c r="F14" s="51"/>
      <c r="G14" s="113" t="str">
        <f t="shared" si="3"/>
        <v/>
      </c>
      <c r="H14" s="113"/>
      <c r="I14" s="114"/>
      <c r="J14" s="115"/>
      <c r="K14" s="118"/>
      <c r="L14" s="119"/>
      <c r="M14" s="12" t="str">
        <f t="shared" si="1"/>
        <v/>
      </c>
      <c r="N14" s="32"/>
      <c r="O14" s="29"/>
      <c r="P14" s="30">
        <f>IF(WEEKDAY(P13,1)=1,P13+1,"")</f>
        <v>45334</v>
      </c>
      <c r="Q14" s="31">
        <f>IF(OR(P14=0,P14=""),"",+P14)</f>
        <v>45334</v>
      </c>
    </row>
    <row r="15" spans="1:17" ht="21.75" customHeight="1" x14ac:dyDescent="0.15">
      <c r="A15" s="8"/>
      <c r="B15" s="111">
        <f t="shared" si="2"/>
        <v>45509</v>
      </c>
      <c r="C15" s="112"/>
      <c r="D15" s="38" t="str">
        <f t="shared" si="0"/>
        <v>月</v>
      </c>
      <c r="E15" s="50">
        <v>36.799999999999997</v>
      </c>
      <c r="F15" s="51">
        <v>33.200000000000003</v>
      </c>
      <c r="G15" s="113" t="str">
        <f>_xlfn.IFS(I15="休工日","",I15="夏季休暇","",I15="年末年始","",I15="工場製作","",I15="一時中止","",I15="その他対象外","",TRUE,IF(E15&gt;=30,"真夏日",IF(F15&gt;=25,"真夏日","")))</f>
        <v>真夏日</v>
      </c>
      <c r="H15" s="113"/>
      <c r="I15" s="114"/>
      <c r="J15" s="115"/>
      <c r="K15" s="126" t="s">
        <v>81</v>
      </c>
      <c r="L15" s="127"/>
      <c r="M15" s="12" t="str">
        <f t="shared" si="1"/>
        <v/>
      </c>
      <c r="N15" s="32"/>
      <c r="O15" s="29" t="s">
        <v>60</v>
      </c>
      <c r="P15" s="30">
        <f>DATE($O$9,2,23)</f>
        <v>45345</v>
      </c>
      <c r="Q15" s="31">
        <f>+P15</f>
        <v>45345</v>
      </c>
    </row>
    <row r="16" spans="1:17" ht="21.75" customHeight="1" x14ac:dyDescent="0.15">
      <c r="A16" s="8"/>
      <c r="B16" s="111">
        <f t="shared" si="2"/>
        <v>45510</v>
      </c>
      <c r="C16" s="112"/>
      <c r="D16" s="38" t="str">
        <f t="shared" si="0"/>
        <v>火</v>
      </c>
      <c r="E16" s="50">
        <v>35.200000000000003</v>
      </c>
      <c r="F16" s="51">
        <v>32.5</v>
      </c>
      <c r="G16" s="113" t="str">
        <f t="shared" si="3"/>
        <v>真夏日</v>
      </c>
      <c r="H16" s="113"/>
      <c r="I16" s="114"/>
      <c r="J16" s="115"/>
      <c r="K16" s="126"/>
      <c r="L16" s="127"/>
      <c r="M16" s="12" t="str">
        <f t="shared" si="1"/>
        <v/>
      </c>
      <c r="N16" s="32"/>
      <c r="O16" s="29"/>
      <c r="P16" s="30" t="str">
        <f>IF(WEEKDAY(P15,1)=1,P15+1,"")</f>
        <v/>
      </c>
      <c r="Q16" s="31" t="str">
        <f>IF(OR(P16=0,P16=""),"",+P16)</f>
        <v/>
      </c>
    </row>
    <row r="17" spans="1:17" ht="21.75" customHeight="1" x14ac:dyDescent="0.15">
      <c r="A17" s="8"/>
      <c r="B17" s="111">
        <f t="shared" si="2"/>
        <v>45511</v>
      </c>
      <c r="C17" s="112"/>
      <c r="D17" s="38" t="str">
        <f t="shared" si="0"/>
        <v>水</v>
      </c>
      <c r="E17" s="50">
        <v>36.6</v>
      </c>
      <c r="F17" s="51">
        <v>32.1</v>
      </c>
      <c r="G17" s="113" t="str">
        <f t="shared" si="3"/>
        <v>真夏日</v>
      </c>
      <c r="H17" s="113"/>
      <c r="I17" s="114"/>
      <c r="J17" s="115"/>
      <c r="K17" s="126"/>
      <c r="L17" s="127"/>
      <c r="M17" s="12" t="str">
        <f t="shared" si="1"/>
        <v/>
      </c>
      <c r="N17" s="32"/>
      <c r="O17" s="29" t="s">
        <v>61</v>
      </c>
      <c r="P17" s="30">
        <f>DATE($O$9,3,INT(20.8431+0.242194*($O$9-1980)-INT(($O$9-1980)/4)))</f>
        <v>45371</v>
      </c>
      <c r="Q17" s="31">
        <f>+P17</f>
        <v>45371</v>
      </c>
    </row>
    <row r="18" spans="1:17" ht="21.75" customHeight="1" x14ac:dyDescent="0.15">
      <c r="A18" s="8"/>
      <c r="B18" s="111">
        <f t="shared" si="2"/>
        <v>45512</v>
      </c>
      <c r="C18" s="112"/>
      <c r="D18" s="38" t="str">
        <f t="shared" si="0"/>
        <v>木</v>
      </c>
      <c r="E18" s="50">
        <v>36</v>
      </c>
      <c r="F18" s="51">
        <v>30.6</v>
      </c>
      <c r="G18" s="113" t="str">
        <f t="shared" si="3"/>
        <v>真夏日</v>
      </c>
      <c r="H18" s="113"/>
      <c r="I18" s="114"/>
      <c r="J18" s="115"/>
      <c r="K18" s="126"/>
      <c r="L18" s="127"/>
      <c r="M18" s="12" t="str">
        <f t="shared" si="1"/>
        <v/>
      </c>
      <c r="N18" s="32"/>
      <c r="O18" s="29"/>
      <c r="P18" s="30" t="str">
        <f>IF(WEEKDAY(P17,1)=1,P17+1,"")</f>
        <v/>
      </c>
      <c r="Q18" s="31" t="str">
        <f>IF(OR(P18=0,P18=""),"",+P18)</f>
        <v/>
      </c>
    </row>
    <row r="19" spans="1:17" ht="21.75" customHeight="1" x14ac:dyDescent="0.15">
      <c r="A19" s="8"/>
      <c r="B19" s="111">
        <f t="shared" si="2"/>
        <v>45513</v>
      </c>
      <c r="C19" s="112"/>
      <c r="D19" s="38" t="str">
        <f t="shared" si="0"/>
        <v>金</v>
      </c>
      <c r="E19" s="50">
        <v>37.700000000000003</v>
      </c>
      <c r="F19" s="51">
        <v>31</v>
      </c>
      <c r="G19" s="113" t="str">
        <f t="shared" si="3"/>
        <v>真夏日</v>
      </c>
      <c r="H19" s="113"/>
      <c r="I19" s="114"/>
      <c r="J19" s="115"/>
      <c r="K19" s="126"/>
      <c r="L19" s="127"/>
      <c r="M19" s="12" t="str">
        <f t="shared" si="1"/>
        <v/>
      </c>
      <c r="N19" s="32"/>
      <c r="O19" s="29" t="s">
        <v>62</v>
      </c>
      <c r="P19" s="30">
        <f>DATE($O$9,4,29)</f>
        <v>45411</v>
      </c>
      <c r="Q19" s="31">
        <f>+P19</f>
        <v>45411</v>
      </c>
    </row>
    <row r="20" spans="1:17" ht="21.75" customHeight="1" x14ac:dyDescent="0.15">
      <c r="A20" s="8"/>
      <c r="B20" s="111">
        <f t="shared" si="2"/>
        <v>45514</v>
      </c>
      <c r="C20" s="112"/>
      <c r="D20" s="38" t="str">
        <f t="shared" si="0"/>
        <v>土</v>
      </c>
      <c r="E20" s="50">
        <v>35.799999999999997</v>
      </c>
      <c r="F20" s="51">
        <v>30.7</v>
      </c>
      <c r="G20" s="113" t="str">
        <f t="shared" si="3"/>
        <v/>
      </c>
      <c r="H20" s="113"/>
      <c r="I20" s="114" t="s">
        <v>77</v>
      </c>
      <c r="J20" s="115"/>
      <c r="K20" s="126"/>
      <c r="L20" s="127"/>
      <c r="M20" s="12" t="str">
        <f t="shared" si="1"/>
        <v/>
      </c>
      <c r="N20" s="32"/>
      <c r="O20" s="29"/>
      <c r="P20" s="30" t="str">
        <f>IF(WEEKDAY(P19,1)=1,P19+1,"")</f>
        <v/>
      </c>
      <c r="Q20" s="31" t="str">
        <f>IF(OR(P20=0,P20=""),"",+P20)</f>
        <v/>
      </c>
    </row>
    <row r="21" spans="1:17" ht="21.75" customHeight="1" x14ac:dyDescent="0.15">
      <c r="A21" s="8"/>
      <c r="B21" s="111">
        <f t="shared" si="2"/>
        <v>45515</v>
      </c>
      <c r="C21" s="112"/>
      <c r="D21" s="38" t="str">
        <f t="shared" si="0"/>
        <v>日</v>
      </c>
      <c r="E21" s="50">
        <v>35.299999999999997</v>
      </c>
      <c r="F21" s="51">
        <v>30.5</v>
      </c>
      <c r="G21" s="113" t="str">
        <f t="shared" si="3"/>
        <v/>
      </c>
      <c r="H21" s="113"/>
      <c r="I21" s="114" t="s">
        <v>77</v>
      </c>
      <c r="J21" s="115"/>
      <c r="K21" s="126"/>
      <c r="L21" s="127"/>
      <c r="M21" s="12" t="str">
        <f t="shared" si="1"/>
        <v>祝日</v>
      </c>
      <c r="N21" s="32"/>
      <c r="O21" s="29" t="s">
        <v>63</v>
      </c>
      <c r="P21" s="30">
        <f>DATE($O$9,5,3)</f>
        <v>45415</v>
      </c>
      <c r="Q21" s="31">
        <f>+P21</f>
        <v>45415</v>
      </c>
    </row>
    <row r="22" spans="1:17" ht="21.75" customHeight="1" x14ac:dyDescent="0.15">
      <c r="A22" s="8"/>
      <c r="B22" s="111">
        <f t="shared" si="2"/>
        <v>45516</v>
      </c>
      <c r="C22" s="112"/>
      <c r="D22" s="38" t="str">
        <f t="shared" si="0"/>
        <v>月</v>
      </c>
      <c r="E22" s="50">
        <v>35.799999999999997</v>
      </c>
      <c r="F22" s="51">
        <v>30.3</v>
      </c>
      <c r="G22" s="113" t="str">
        <f t="shared" si="3"/>
        <v/>
      </c>
      <c r="H22" s="113"/>
      <c r="I22" s="114" t="s">
        <v>77</v>
      </c>
      <c r="J22" s="115"/>
      <c r="K22" s="126"/>
      <c r="L22" s="127"/>
      <c r="M22" s="12" t="str">
        <f t="shared" si="1"/>
        <v>祝日</v>
      </c>
      <c r="N22" s="32"/>
      <c r="O22" s="29" t="s">
        <v>64</v>
      </c>
      <c r="P22" s="30">
        <f>DATE($O$9,5,4)</f>
        <v>45416</v>
      </c>
      <c r="Q22" s="31">
        <f>+P22</f>
        <v>45416</v>
      </c>
    </row>
    <row r="23" spans="1:17" ht="21.75" customHeight="1" x14ac:dyDescent="0.15">
      <c r="A23" s="8"/>
      <c r="B23" s="111">
        <f t="shared" si="2"/>
        <v>45517</v>
      </c>
      <c r="C23" s="112"/>
      <c r="D23" s="38" t="str">
        <f t="shared" si="0"/>
        <v>火</v>
      </c>
      <c r="E23" s="50">
        <v>35.700000000000003</v>
      </c>
      <c r="F23" s="51">
        <v>31.3</v>
      </c>
      <c r="G23" s="113" t="str">
        <f t="shared" si="3"/>
        <v/>
      </c>
      <c r="H23" s="113"/>
      <c r="I23" s="114" t="s">
        <v>76</v>
      </c>
      <c r="J23" s="115"/>
      <c r="K23" s="126"/>
      <c r="L23" s="127"/>
      <c r="M23" s="12" t="str">
        <f t="shared" si="1"/>
        <v/>
      </c>
      <c r="N23" s="32"/>
      <c r="O23" s="29" t="s">
        <v>65</v>
      </c>
      <c r="P23" s="30">
        <f>DATE($O$9,5,5)</f>
        <v>45417</v>
      </c>
      <c r="Q23" s="31">
        <f>+P23</f>
        <v>45417</v>
      </c>
    </row>
    <row r="24" spans="1:17" ht="21.75" customHeight="1" x14ac:dyDescent="0.15">
      <c r="A24" s="8"/>
      <c r="B24" s="111">
        <f t="shared" si="2"/>
        <v>45518</v>
      </c>
      <c r="C24" s="112"/>
      <c r="D24" s="38" t="str">
        <f t="shared" si="0"/>
        <v>水</v>
      </c>
      <c r="E24" s="50">
        <v>36.9</v>
      </c>
      <c r="F24" s="51">
        <v>31.9</v>
      </c>
      <c r="G24" s="113" t="str">
        <f t="shared" si="3"/>
        <v/>
      </c>
      <c r="H24" s="113"/>
      <c r="I24" s="114" t="s">
        <v>76</v>
      </c>
      <c r="J24" s="115"/>
      <c r="K24" s="126"/>
      <c r="L24" s="127"/>
      <c r="M24" s="12" t="str">
        <f t="shared" si="1"/>
        <v/>
      </c>
      <c r="N24" s="32"/>
      <c r="O24" s="29"/>
      <c r="P24" s="30">
        <f>IF(WEEKDAY(P23,1)=1,P23+1,"")</f>
        <v>45418</v>
      </c>
      <c r="Q24" s="31">
        <f>IF(OR(P24=0,P24=""),"",+P24)</f>
        <v>45418</v>
      </c>
    </row>
    <row r="25" spans="1:17" ht="21.75" customHeight="1" x14ac:dyDescent="0.15">
      <c r="A25" s="8"/>
      <c r="B25" s="111">
        <f t="shared" si="2"/>
        <v>45519</v>
      </c>
      <c r="C25" s="112"/>
      <c r="D25" s="38" t="str">
        <f t="shared" si="0"/>
        <v>木</v>
      </c>
      <c r="E25" s="50">
        <v>37.200000000000003</v>
      </c>
      <c r="F25" s="51">
        <v>32</v>
      </c>
      <c r="G25" s="113" t="str">
        <f t="shared" si="3"/>
        <v/>
      </c>
      <c r="H25" s="113"/>
      <c r="I25" s="114" t="s">
        <v>76</v>
      </c>
      <c r="J25" s="115"/>
      <c r="K25" s="126"/>
      <c r="L25" s="127"/>
      <c r="M25" s="12" t="str">
        <f t="shared" si="1"/>
        <v/>
      </c>
      <c r="N25" s="32"/>
      <c r="O25" s="29" t="s">
        <v>66</v>
      </c>
      <c r="P25" s="30">
        <f>DATE($O$9,7,7*3)-WEEKDAY(DATE($O$9,7,7*3),3)</f>
        <v>45488</v>
      </c>
      <c r="Q25" s="31" t="s">
        <v>67</v>
      </c>
    </row>
    <row r="26" spans="1:17" ht="21.75" customHeight="1" x14ac:dyDescent="0.15">
      <c r="A26" s="8"/>
      <c r="B26" s="111">
        <f t="shared" si="2"/>
        <v>45520</v>
      </c>
      <c r="C26" s="112"/>
      <c r="D26" s="38" t="str">
        <f t="shared" si="0"/>
        <v>金</v>
      </c>
      <c r="E26" s="50">
        <v>34.4</v>
      </c>
      <c r="F26" s="51">
        <v>30.3</v>
      </c>
      <c r="G26" s="113" t="str">
        <f t="shared" si="3"/>
        <v/>
      </c>
      <c r="H26" s="113"/>
      <c r="I26" s="114" t="s">
        <v>77</v>
      </c>
      <c r="J26" s="115"/>
      <c r="K26" s="126"/>
      <c r="L26" s="127"/>
      <c r="M26" s="12" t="str">
        <f t="shared" si="1"/>
        <v/>
      </c>
      <c r="N26" s="32"/>
      <c r="O26" s="29" t="s">
        <v>68</v>
      </c>
      <c r="P26" s="30">
        <f>DATE($O$9,8,11)</f>
        <v>45515</v>
      </c>
      <c r="Q26" s="31">
        <f>+P26</f>
        <v>45515</v>
      </c>
    </row>
    <row r="27" spans="1:17" ht="21.75" customHeight="1" x14ac:dyDescent="0.15">
      <c r="A27" s="8"/>
      <c r="B27" s="111">
        <f t="shared" si="2"/>
        <v>45521</v>
      </c>
      <c r="C27" s="112"/>
      <c r="D27" s="38" t="str">
        <f t="shared" si="0"/>
        <v>土</v>
      </c>
      <c r="E27" s="50">
        <v>34.9</v>
      </c>
      <c r="F27" s="51">
        <v>30.7</v>
      </c>
      <c r="G27" s="113" t="str">
        <f t="shared" si="3"/>
        <v/>
      </c>
      <c r="H27" s="113"/>
      <c r="I27" s="114" t="s">
        <v>77</v>
      </c>
      <c r="J27" s="115"/>
      <c r="K27" s="126"/>
      <c r="L27" s="127"/>
      <c r="M27" s="12" t="str">
        <f t="shared" si="1"/>
        <v/>
      </c>
      <c r="N27" s="32"/>
      <c r="O27" s="29"/>
      <c r="P27" s="30">
        <f>IF(WEEKDAY(P26,1)=1,P26+1,"")</f>
        <v>45516</v>
      </c>
      <c r="Q27" s="31">
        <f>IF(OR(P27=0,P27=""),"",+P27)</f>
        <v>45516</v>
      </c>
    </row>
    <row r="28" spans="1:17" ht="21.75" customHeight="1" x14ac:dyDescent="0.15">
      <c r="A28" s="8"/>
      <c r="B28" s="111">
        <f t="shared" si="2"/>
        <v>45522</v>
      </c>
      <c r="C28" s="112"/>
      <c r="D28" s="38" t="str">
        <f t="shared" si="0"/>
        <v>日</v>
      </c>
      <c r="E28" s="50">
        <v>36.5</v>
      </c>
      <c r="F28" s="51">
        <v>31.5</v>
      </c>
      <c r="G28" s="113" t="str">
        <f t="shared" si="3"/>
        <v/>
      </c>
      <c r="H28" s="113"/>
      <c r="I28" s="114" t="s">
        <v>77</v>
      </c>
      <c r="J28" s="115"/>
      <c r="K28" s="126"/>
      <c r="L28" s="127"/>
      <c r="M28" s="12" t="str">
        <f t="shared" si="1"/>
        <v/>
      </c>
      <c r="N28" s="32"/>
      <c r="O28" s="29" t="s">
        <v>69</v>
      </c>
      <c r="P28" s="30">
        <f>DATE($O$9,9,7*3)-WEEKDAY(DATE($O$9,9,7*3),3)</f>
        <v>45551</v>
      </c>
      <c r="Q28" s="31" t="s">
        <v>67</v>
      </c>
    </row>
    <row r="29" spans="1:17" ht="21.75" customHeight="1" x14ac:dyDescent="0.15">
      <c r="A29" s="8"/>
      <c r="B29" s="111">
        <f t="shared" si="2"/>
        <v>45523</v>
      </c>
      <c r="C29" s="112"/>
      <c r="D29" s="38" t="str">
        <f t="shared" si="0"/>
        <v>月</v>
      </c>
      <c r="E29" s="50">
        <v>30.2</v>
      </c>
      <c r="F29" s="51">
        <v>28</v>
      </c>
      <c r="G29" s="113" t="str">
        <f t="shared" si="3"/>
        <v>真夏日</v>
      </c>
      <c r="H29" s="113"/>
      <c r="I29" s="114"/>
      <c r="J29" s="115"/>
      <c r="K29" s="126"/>
      <c r="L29" s="127"/>
      <c r="M29" s="12" t="str">
        <f t="shared" si="1"/>
        <v/>
      </c>
      <c r="N29" s="32"/>
      <c r="O29" s="29" t="s">
        <v>70</v>
      </c>
      <c r="P29" s="30">
        <f>DATE($O$9,9,INT(23.2488+0.242194*($O$9-1980)-INT(($O$9-1980)/4)))</f>
        <v>45557</v>
      </c>
      <c r="Q29" s="31">
        <f>+P29</f>
        <v>45557</v>
      </c>
    </row>
    <row r="30" spans="1:17" ht="21.75" customHeight="1" x14ac:dyDescent="0.15">
      <c r="A30" s="8"/>
      <c r="B30" s="111">
        <f t="shared" si="2"/>
        <v>45524</v>
      </c>
      <c r="C30" s="112"/>
      <c r="D30" s="38" t="str">
        <f t="shared" si="0"/>
        <v>火</v>
      </c>
      <c r="E30" s="50">
        <v>32.700000000000003</v>
      </c>
      <c r="F30" s="51">
        <v>31</v>
      </c>
      <c r="G30" s="113" t="str">
        <f t="shared" si="3"/>
        <v>真夏日</v>
      </c>
      <c r="H30" s="113"/>
      <c r="I30" s="114"/>
      <c r="J30" s="115"/>
      <c r="K30" s="126"/>
      <c r="L30" s="127"/>
      <c r="M30" s="12" t="str">
        <f t="shared" si="1"/>
        <v/>
      </c>
      <c r="N30" s="32"/>
      <c r="O30" s="29"/>
      <c r="P30" s="30">
        <f>IF(WEEKDAY(P29,1)=1,P29+1,"")</f>
        <v>45558</v>
      </c>
      <c r="Q30" s="31">
        <f>IF(OR(P30=0,P30=""),"",+P30)</f>
        <v>45558</v>
      </c>
    </row>
    <row r="31" spans="1:17" ht="21.75" customHeight="1" x14ac:dyDescent="0.15">
      <c r="A31" s="8"/>
      <c r="B31" s="111">
        <f t="shared" si="2"/>
        <v>45525</v>
      </c>
      <c r="C31" s="112"/>
      <c r="D31" s="38" t="str">
        <f t="shared" si="0"/>
        <v>水</v>
      </c>
      <c r="E31" s="50">
        <v>36.4</v>
      </c>
      <c r="F31" s="51">
        <v>32</v>
      </c>
      <c r="G31" s="113" t="str">
        <f t="shared" si="3"/>
        <v>真夏日</v>
      </c>
      <c r="H31" s="113"/>
      <c r="I31" s="114"/>
      <c r="J31" s="115"/>
      <c r="K31" s="126"/>
      <c r="L31" s="127"/>
      <c r="M31" s="12" t="str">
        <f t="shared" si="1"/>
        <v/>
      </c>
      <c r="N31" s="32"/>
      <c r="O31" s="29" t="s">
        <v>71</v>
      </c>
      <c r="P31" s="30">
        <f>DATE($O$9,10,7*2)-WEEKDAY(DATE($O$9,10,7*2),3)</f>
        <v>45579</v>
      </c>
      <c r="Q31" s="31" t="s">
        <v>58</v>
      </c>
    </row>
    <row r="32" spans="1:17" ht="21.75" customHeight="1" x14ac:dyDescent="0.15">
      <c r="A32" s="8"/>
      <c r="B32" s="111">
        <f t="shared" si="2"/>
        <v>45526</v>
      </c>
      <c r="C32" s="112"/>
      <c r="D32" s="38" t="str">
        <f t="shared" si="0"/>
        <v>木</v>
      </c>
      <c r="E32" s="50">
        <v>34.200000000000003</v>
      </c>
      <c r="F32" s="51">
        <v>32.4</v>
      </c>
      <c r="G32" s="113" t="str">
        <f t="shared" si="3"/>
        <v>真夏日</v>
      </c>
      <c r="H32" s="113"/>
      <c r="I32" s="114"/>
      <c r="J32" s="115"/>
      <c r="K32" s="126"/>
      <c r="L32" s="127"/>
      <c r="M32" s="12" t="str">
        <f t="shared" si="1"/>
        <v/>
      </c>
      <c r="N32" s="32"/>
      <c r="O32" s="29" t="s">
        <v>72</v>
      </c>
      <c r="P32" s="30">
        <f>DATE($O$9,11,3)</f>
        <v>45599</v>
      </c>
      <c r="Q32" s="31">
        <f>+P32</f>
        <v>45599</v>
      </c>
    </row>
    <row r="33" spans="1:17" ht="21.75" customHeight="1" x14ac:dyDescent="0.15">
      <c r="A33" s="8"/>
      <c r="B33" s="111">
        <f t="shared" si="2"/>
        <v>45527</v>
      </c>
      <c r="C33" s="112"/>
      <c r="D33" s="38" t="str">
        <f t="shared" si="0"/>
        <v>金</v>
      </c>
      <c r="E33" s="50">
        <v>34.200000000000003</v>
      </c>
      <c r="F33" s="51">
        <v>32.200000000000003</v>
      </c>
      <c r="G33" s="113" t="str">
        <f t="shared" si="3"/>
        <v>真夏日</v>
      </c>
      <c r="H33" s="113"/>
      <c r="I33" s="114"/>
      <c r="J33" s="115"/>
      <c r="K33" s="126"/>
      <c r="L33" s="127"/>
      <c r="M33" s="12" t="str">
        <f t="shared" si="1"/>
        <v/>
      </c>
      <c r="N33" s="32"/>
      <c r="O33" s="29"/>
      <c r="P33" s="30">
        <f>IF(WEEKDAY(P32,1)=1,P32+1,"")</f>
        <v>45600</v>
      </c>
      <c r="Q33" s="31">
        <f>IF(OR(P33=0,P33=""),"",+P33)</f>
        <v>45600</v>
      </c>
    </row>
    <row r="34" spans="1:17" ht="21.75" customHeight="1" x14ac:dyDescent="0.15">
      <c r="A34" s="8"/>
      <c r="B34" s="111">
        <f t="shared" si="2"/>
        <v>45528</v>
      </c>
      <c r="C34" s="112"/>
      <c r="D34" s="38" t="str">
        <f t="shared" si="0"/>
        <v>土</v>
      </c>
      <c r="E34" s="50">
        <v>33.299999999999997</v>
      </c>
      <c r="F34" s="51">
        <v>31.9</v>
      </c>
      <c r="G34" s="113" t="str">
        <f t="shared" si="3"/>
        <v/>
      </c>
      <c r="H34" s="113"/>
      <c r="I34" s="114" t="s">
        <v>77</v>
      </c>
      <c r="J34" s="115"/>
      <c r="K34" s="126"/>
      <c r="L34" s="127"/>
      <c r="M34" s="12" t="str">
        <f t="shared" si="1"/>
        <v/>
      </c>
      <c r="N34" s="32"/>
      <c r="O34" s="29" t="s">
        <v>73</v>
      </c>
      <c r="P34" s="30">
        <f>DATE($O$9,11,23)</f>
        <v>45619</v>
      </c>
      <c r="Q34" s="31">
        <f>+P34</f>
        <v>45619</v>
      </c>
    </row>
    <row r="35" spans="1:17" ht="21.75" customHeight="1" x14ac:dyDescent="0.15">
      <c r="A35" s="8"/>
      <c r="B35" s="111">
        <f t="shared" si="2"/>
        <v>45529</v>
      </c>
      <c r="C35" s="112"/>
      <c r="D35" s="38" t="str">
        <f t="shared" si="0"/>
        <v>日</v>
      </c>
      <c r="E35" s="50">
        <v>33.299999999999997</v>
      </c>
      <c r="F35" s="51">
        <v>31.5</v>
      </c>
      <c r="G35" s="113" t="str">
        <f t="shared" si="3"/>
        <v/>
      </c>
      <c r="H35" s="113"/>
      <c r="I35" s="114" t="s">
        <v>77</v>
      </c>
      <c r="J35" s="115"/>
      <c r="K35" s="126"/>
      <c r="L35" s="127"/>
      <c r="M35" s="12" t="str">
        <f t="shared" si="1"/>
        <v/>
      </c>
      <c r="N35" s="32"/>
      <c r="O35" s="29"/>
      <c r="P35" s="30" t="str">
        <f>IF(WEEKDAY(P34,1)=1,P34+1,"")</f>
        <v/>
      </c>
      <c r="Q35" s="31" t="str">
        <f>IF(OR(P35=0,P35=""),"",+P35)</f>
        <v/>
      </c>
    </row>
    <row r="36" spans="1:17" ht="21.75" customHeight="1" x14ac:dyDescent="0.15">
      <c r="A36" s="8"/>
      <c r="B36" s="111">
        <f t="shared" si="2"/>
        <v>45530</v>
      </c>
      <c r="C36" s="112"/>
      <c r="D36" s="38" t="str">
        <f t="shared" si="0"/>
        <v>月</v>
      </c>
      <c r="E36" s="50">
        <v>34.799999999999997</v>
      </c>
      <c r="F36" s="51">
        <v>31.3</v>
      </c>
      <c r="G36" s="113" t="str">
        <f t="shared" si="3"/>
        <v>真夏日</v>
      </c>
      <c r="H36" s="113"/>
      <c r="I36" s="114"/>
      <c r="J36" s="115"/>
      <c r="K36" s="126"/>
      <c r="L36" s="127"/>
      <c r="M36" s="12" t="str">
        <f t="shared" si="1"/>
        <v/>
      </c>
      <c r="N36" s="32"/>
    </row>
    <row r="37" spans="1:17" ht="21.75" customHeight="1" x14ac:dyDescent="0.15">
      <c r="A37" s="8"/>
      <c r="B37" s="111">
        <f t="shared" si="2"/>
        <v>45531</v>
      </c>
      <c r="C37" s="112"/>
      <c r="D37" s="38" t="str">
        <f t="shared" si="0"/>
        <v>火</v>
      </c>
      <c r="E37" s="50">
        <v>35.9</v>
      </c>
      <c r="F37" s="51">
        <v>30.8</v>
      </c>
      <c r="G37" s="113" t="str">
        <f t="shared" si="3"/>
        <v>真夏日</v>
      </c>
      <c r="H37" s="113"/>
      <c r="I37" s="114"/>
      <c r="J37" s="115"/>
      <c r="K37" s="126"/>
      <c r="L37" s="127"/>
      <c r="M37" s="12" t="str">
        <f t="shared" si="1"/>
        <v/>
      </c>
      <c r="N37" s="32"/>
    </row>
    <row r="38" spans="1:17" ht="21.75" customHeight="1" x14ac:dyDescent="0.15">
      <c r="A38" s="8"/>
      <c r="B38" s="111">
        <f t="shared" si="2"/>
        <v>45532</v>
      </c>
      <c r="C38" s="112"/>
      <c r="D38" s="38" t="str">
        <f t="shared" si="0"/>
        <v>水</v>
      </c>
      <c r="E38" s="50">
        <v>34.799999999999997</v>
      </c>
      <c r="F38" s="51">
        <v>31.2</v>
      </c>
      <c r="G38" s="113" t="str">
        <f t="shared" si="3"/>
        <v>真夏日</v>
      </c>
      <c r="H38" s="113"/>
      <c r="I38" s="114"/>
      <c r="J38" s="115"/>
      <c r="K38" s="126"/>
      <c r="L38" s="127"/>
      <c r="M38" s="12" t="str">
        <f t="shared" si="1"/>
        <v/>
      </c>
      <c r="N38" s="32"/>
    </row>
    <row r="39" spans="1:17" ht="21.75" customHeight="1" x14ac:dyDescent="0.15">
      <c r="A39" s="8"/>
      <c r="B39" s="111">
        <f>IF(B38="","",IF(B38=EOMONTH($B$11,0),"",B38+1))</f>
        <v>45533</v>
      </c>
      <c r="C39" s="112"/>
      <c r="D39" s="38" t="str">
        <f t="shared" si="0"/>
        <v>木</v>
      </c>
      <c r="E39" s="50">
        <v>29.8</v>
      </c>
      <c r="F39" s="51">
        <v>27.9</v>
      </c>
      <c r="G39" s="113" t="str">
        <f t="shared" si="3"/>
        <v>真夏日</v>
      </c>
      <c r="H39" s="113"/>
      <c r="I39" s="114"/>
      <c r="J39" s="115"/>
      <c r="K39" s="126" t="s">
        <v>94</v>
      </c>
      <c r="L39" s="127"/>
      <c r="M39" s="12" t="str">
        <f t="shared" si="1"/>
        <v/>
      </c>
      <c r="N39" s="32"/>
    </row>
    <row r="40" spans="1:17" ht="21.75" customHeight="1" x14ac:dyDescent="0.15">
      <c r="A40" s="8"/>
      <c r="B40" s="111">
        <f>IF(B39="","",IF(OR(B39="",B39=EOMONTH($B$11,0)),"",B39+1))</f>
        <v>45534</v>
      </c>
      <c r="C40" s="112"/>
      <c r="D40" s="38" t="str">
        <f t="shared" si="0"/>
        <v>金</v>
      </c>
      <c r="E40" s="50"/>
      <c r="F40" s="51"/>
      <c r="G40" s="113" t="str">
        <f t="shared" si="3"/>
        <v/>
      </c>
      <c r="H40" s="113"/>
      <c r="I40" s="114"/>
      <c r="J40" s="115"/>
      <c r="K40" s="118"/>
      <c r="L40" s="119"/>
      <c r="M40" s="12" t="str">
        <f t="shared" si="1"/>
        <v/>
      </c>
      <c r="N40" s="32"/>
      <c r="O40" s="13"/>
    </row>
    <row r="41" spans="1:17" ht="21.75" customHeight="1" x14ac:dyDescent="0.15">
      <c r="A41" s="8"/>
      <c r="B41" s="128">
        <f>IF(B40="","",IF(OR(B40="",B40=EOMONTH($B$11,0)),"",B40+1))</f>
        <v>45535</v>
      </c>
      <c r="C41" s="129"/>
      <c r="D41" s="37" t="str">
        <f t="shared" si="0"/>
        <v>土</v>
      </c>
      <c r="E41" s="54"/>
      <c r="F41" s="55"/>
      <c r="G41" s="130"/>
      <c r="H41" s="130"/>
      <c r="I41" s="131"/>
      <c r="J41" s="132"/>
      <c r="K41" s="133"/>
      <c r="L41" s="134"/>
      <c r="M41" s="12" t="str">
        <f t="shared" si="1"/>
        <v/>
      </c>
      <c r="N41" s="32"/>
    </row>
    <row r="42" spans="1:17" ht="11.25" customHeight="1" x14ac:dyDescent="0.15">
      <c r="A42" s="10"/>
      <c r="B42" s="63"/>
      <c r="C42" s="63"/>
      <c r="D42" s="32"/>
      <c r="E42" s="64"/>
      <c r="F42" s="57"/>
      <c r="G42" s="66"/>
      <c r="H42" s="66"/>
      <c r="I42" s="65"/>
      <c r="J42" s="65"/>
      <c r="K42" s="32"/>
      <c r="L42" s="32"/>
      <c r="M42" s="67"/>
      <c r="N42" s="32"/>
    </row>
    <row r="43" spans="1:17" ht="22.5" customHeight="1" x14ac:dyDescent="0.15">
      <c r="C43" s="14"/>
      <c r="F43" s="15" t="s">
        <v>93</v>
      </c>
      <c r="G43" s="135">
        <f>COUNTIF(G11:G41,"真夏日")</f>
        <v>14</v>
      </c>
      <c r="H43" s="135"/>
      <c r="I43" s="33"/>
      <c r="J43" s="33"/>
      <c r="M43" s="32"/>
    </row>
    <row r="44" spans="1:17" ht="23.25" customHeight="1" x14ac:dyDescent="0.15">
      <c r="C44" s="14"/>
      <c r="F44" s="15" t="s">
        <v>111</v>
      </c>
      <c r="G44" s="136">
        <f>COUNTA(E11:E41)-COUNTIF(I11:J41,"年末年始")-COUNTIF(I11:J41,"夏季休暇")-COUNTIF(I11:J41,"工場製作")-COUNTIF(I11:J41,"一時中止")-COUNTIF(I11:J41,"その他対象外")</f>
        <v>22</v>
      </c>
      <c r="H44" s="136"/>
    </row>
    <row r="45" spans="1:17" x14ac:dyDescent="0.15">
      <c r="C45" s="14"/>
    </row>
    <row r="46" spans="1:17" x14ac:dyDescent="0.15">
      <c r="C46" s="14"/>
    </row>
    <row r="47" spans="1:17" x14ac:dyDescent="0.15">
      <c r="C47" s="14"/>
    </row>
    <row r="48" spans="1:17" x14ac:dyDescent="0.15">
      <c r="C48" s="14"/>
    </row>
    <row r="49" spans="3:3" x14ac:dyDescent="0.15">
      <c r="C49" s="14"/>
    </row>
    <row r="50" spans="3:3" x14ac:dyDescent="0.15">
      <c r="C50" s="14"/>
    </row>
    <row r="51" spans="3:3" x14ac:dyDescent="0.15">
      <c r="C51" s="14"/>
    </row>
    <row r="52" spans="3:3" x14ac:dyDescent="0.15">
      <c r="C52" s="14"/>
    </row>
  </sheetData>
  <mergeCells count="139">
    <mergeCell ref="B41:C4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G41:H41"/>
    <mergeCell ref="I41:J41"/>
    <mergeCell ref="K41:L41"/>
    <mergeCell ref="G43:H43"/>
    <mergeCell ref="G44:H44"/>
    <mergeCell ref="G39:H39"/>
    <mergeCell ref="I39:J39"/>
    <mergeCell ref="K39:L39"/>
    <mergeCell ref="G40:H40"/>
    <mergeCell ref="I40:J40"/>
    <mergeCell ref="K40:L40"/>
    <mergeCell ref="G37:H37"/>
    <mergeCell ref="I37:J37"/>
    <mergeCell ref="K37:L37"/>
    <mergeCell ref="G38:H38"/>
    <mergeCell ref="I38:J38"/>
    <mergeCell ref="K38:L38"/>
    <mergeCell ref="G35:H35"/>
    <mergeCell ref="I35:J35"/>
    <mergeCell ref="K35:L35"/>
    <mergeCell ref="G36:H36"/>
    <mergeCell ref="I36:J36"/>
    <mergeCell ref="K36:L36"/>
    <mergeCell ref="G33:H33"/>
    <mergeCell ref="I33:J33"/>
    <mergeCell ref="K33:L33"/>
    <mergeCell ref="G34:H34"/>
    <mergeCell ref="I34:J34"/>
    <mergeCell ref="K34:L34"/>
    <mergeCell ref="G31:H31"/>
    <mergeCell ref="I31:J31"/>
    <mergeCell ref="K31:L31"/>
    <mergeCell ref="G32:H32"/>
    <mergeCell ref="I32:J32"/>
    <mergeCell ref="K32:L32"/>
    <mergeCell ref="G29:H29"/>
    <mergeCell ref="I29:J29"/>
    <mergeCell ref="K29:L29"/>
    <mergeCell ref="G30:H30"/>
    <mergeCell ref="I30:J30"/>
    <mergeCell ref="K30:L30"/>
    <mergeCell ref="G27:H27"/>
    <mergeCell ref="I27:J27"/>
    <mergeCell ref="K27:L27"/>
    <mergeCell ref="G28:H28"/>
    <mergeCell ref="I28:J28"/>
    <mergeCell ref="K28:L28"/>
    <mergeCell ref="G25:H25"/>
    <mergeCell ref="I25:J25"/>
    <mergeCell ref="K25:L25"/>
    <mergeCell ref="G26:H26"/>
    <mergeCell ref="I26:J26"/>
    <mergeCell ref="K26:L26"/>
    <mergeCell ref="G23:H23"/>
    <mergeCell ref="I23:J23"/>
    <mergeCell ref="K23:L23"/>
    <mergeCell ref="G24:H24"/>
    <mergeCell ref="I24:J24"/>
    <mergeCell ref="K24:L24"/>
    <mergeCell ref="G21:H21"/>
    <mergeCell ref="I21:J21"/>
    <mergeCell ref="K21:L21"/>
    <mergeCell ref="G22:H22"/>
    <mergeCell ref="I22:J22"/>
    <mergeCell ref="K22:L22"/>
    <mergeCell ref="G19:H19"/>
    <mergeCell ref="I19:J19"/>
    <mergeCell ref="K19:L19"/>
    <mergeCell ref="G20:H20"/>
    <mergeCell ref="I20:J20"/>
    <mergeCell ref="K20:L20"/>
    <mergeCell ref="G17:H17"/>
    <mergeCell ref="I17:J17"/>
    <mergeCell ref="K17:L17"/>
    <mergeCell ref="G18:H18"/>
    <mergeCell ref="I18:J18"/>
    <mergeCell ref="K18:L18"/>
    <mergeCell ref="G15:H15"/>
    <mergeCell ref="I15:J15"/>
    <mergeCell ref="K15:L15"/>
    <mergeCell ref="G16:H16"/>
    <mergeCell ref="I16:J16"/>
    <mergeCell ref="K16:L16"/>
    <mergeCell ref="G14:H14"/>
    <mergeCell ref="I14:J14"/>
    <mergeCell ref="K14:L14"/>
    <mergeCell ref="G11:H11"/>
    <mergeCell ref="I11:J11"/>
    <mergeCell ref="K11:L11"/>
    <mergeCell ref="G12:H12"/>
    <mergeCell ref="I12:J12"/>
    <mergeCell ref="K12:L12"/>
    <mergeCell ref="C5:D5"/>
    <mergeCell ref="C6:D6"/>
    <mergeCell ref="C7:D7"/>
    <mergeCell ref="C8:D8"/>
    <mergeCell ref="B10:C10"/>
    <mergeCell ref="B11:C11"/>
    <mergeCell ref="B12:C12"/>
    <mergeCell ref="B13:C13"/>
    <mergeCell ref="B1:E2"/>
    <mergeCell ref="G10:H10"/>
    <mergeCell ref="I10:J10"/>
    <mergeCell ref="K10:L10"/>
    <mergeCell ref="E5:K5"/>
    <mergeCell ref="E6:K6"/>
    <mergeCell ref="E7:K7"/>
    <mergeCell ref="E8:K8"/>
    <mergeCell ref="G13:H13"/>
    <mergeCell ref="I13:J13"/>
    <mergeCell ref="K13:L13"/>
  </mergeCells>
  <phoneticPr fontId="2"/>
  <conditionalFormatting sqref="O11:O15 O17:O26 O28:O34">
    <cfRule type="cellIs" dxfId="29" priority="19" stopIfTrue="1" operator="equal">
      <formula>"振替休日"</formula>
    </cfRule>
  </conditionalFormatting>
  <conditionalFormatting sqref="P12:P13 Q12:Q15">
    <cfRule type="expression" dxfId="28" priority="16" stopIfTrue="1">
      <formula>$CJ43="振替休日"</formula>
    </cfRule>
  </conditionalFormatting>
  <conditionalFormatting sqref="P17 P19 P21 P25">
    <cfRule type="expression" dxfId="27" priority="17" stopIfTrue="1">
      <formula>$CJ46="振替休日"</formula>
    </cfRule>
    <cfRule type="cellIs" dxfId="26" priority="18" stopIfTrue="1" operator="equal">
      <formula>0</formula>
    </cfRule>
  </conditionalFormatting>
  <conditionalFormatting sqref="P22:P23 Q17:Q26">
    <cfRule type="expression" dxfId="25" priority="20" stopIfTrue="1">
      <formula>$CJ46="振替休日"</formula>
    </cfRule>
  </conditionalFormatting>
  <conditionalFormatting sqref="P15">
    <cfRule type="expression" dxfId="24" priority="21" stopIfTrue="1">
      <formula>$CJ63="振替休日"</formula>
    </cfRule>
    <cfRule type="cellIs" dxfId="23" priority="22" stopIfTrue="1" operator="equal">
      <formula>0</formula>
    </cfRule>
  </conditionalFormatting>
  <conditionalFormatting sqref="Q15">
    <cfRule type="expression" dxfId="22" priority="23" stopIfTrue="1">
      <formula>$CJ63="振替休日"</formula>
    </cfRule>
  </conditionalFormatting>
  <conditionalFormatting sqref="P11:Q11">
    <cfRule type="expression" dxfId="21" priority="24" stopIfTrue="1">
      <formula>$CJ39="振替休日"</formula>
    </cfRule>
  </conditionalFormatting>
  <conditionalFormatting sqref="O16">
    <cfRule type="cellIs" dxfId="20" priority="15" stopIfTrue="1" operator="equal">
      <formula>"振替休日"</formula>
    </cfRule>
  </conditionalFormatting>
  <conditionalFormatting sqref="P16:Q16">
    <cfRule type="expression" dxfId="19" priority="14" stopIfTrue="1">
      <formula>$CJ47="振替休日"</formula>
    </cfRule>
  </conditionalFormatting>
  <conditionalFormatting sqref="P34 P31">
    <cfRule type="expression" dxfId="18" priority="25" stopIfTrue="1">
      <formula>$CJ58="振替休日"</formula>
    </cfRule>
    <cfRule type="cellIs" dxfId="17" priority="26" stopIfTrue="1" operator="equal">
      <formula>0</formula>
    </cfRule>
  </conditionalFormatting>
  <conditionalFormatting sqref="P32 Q28:Q34 P28:P29">
    <cfRule type="expression" dxfId="16" priority="27" stopIfTrue="1">
      <formula>$CJ55="振替休日"</formula>
    </cfRule>
  </conditionalFormatting>
  <conditionalFormatting sqref="P26">
    <cfRule type="expression" dxfId="15" priority="13" stopIfTrue="1">
      <formula>$CJ55="振替休日"</formula>
    </cfRule>
  </conditionalFormatting>
  <conditionalFormatting sqref="O27">
    <cfRule type="cellIs" dxfId="14" priority="11" stopIfTrue="1" operator="equal">
      <formula>"振替休日"</formula>
    </cfRule>
  </conditionalFormatting>
  <conditionalFormatting sqref="Q27">
    <cfRule type="expression" dxfId="13" priority="12" stopIfTrue="1">
      <formula>$CJ54="振替休日"</formula>
    </cfRule>
  </conditionalFormatting>
  <conditionalFormatting sqref="O35">
    <cfRule type="cellIs" dxfId="12" priority="9" stopIfTrue="1" operator="equal">
      <formula>"振替休日"</formula>
    </cfRule>
  </conditionalFormatting>
  <conditionalFormatting sqref="Q35">
    <cfRule type="expression" dxfId="11" priority="10" stopIfTrue="1">
      <formula>$CJ62="振替休日"</formula>
    </cfRule>
  </conditionalFormatting>
  <conditionalFormatting sqref="K11:L42 D11:I42 B11:B42">
    <cfRule type="expression" dxfId="10" priority="28">
      <formula>$D11="土"</formula>
    </cfRule>
    <cfRule type="expression" dxfId="9" priority="29">
      <formula>$D11="日"</formula>
    </cfRule>
    <cfRule type="expression" dxfId="8" priority="30">
      <formula>$M11&lt;&gt;""</formula>
    </cfRule>
  </conditionalFormatting>
  <conditionalFormatting sqref="P14">
    <cfRule type="expression" dxfId="7" priority="8" stopIfTrue="1">
      <formula>$CJ45="振替休日"</formula>
    </cfRule>
  </conditionalFormatting>
  <conditionalFormatting sqref="P18">
    <cfRule type="expression" dxfId="6" priority="7" stopIfTrue="1">
      <formula>$CJ49="振替休日"</formula>
    </cfRule>
  </conditionalFormatting>
  <conditionalFormatting sqref="P20">
    <cfRule type="expression" dxfId="5" priority="6" stopIfTrue="1">
      <formula>$CJ51="振替休日"</formula>
    </cfRule>
  </conditionalFormatting>
  <conditionalFormatting sqref="P24">
    <cfRule type="expression" dxfId="4" priority="5" stopIfTrue="1">
      <formula>$CJ55="振替休日"</formula>
    </cfRule>
  </conditionalFormatting>
  <conditionalFormatting sqref="P27">
    <cfRule type="expression" dxfId="3" priority="4" stopIfTrue="1">
      <formula>$CJ58="振替休日"</formula>
    </cfRule>
  </conditionalFormatting>
  <conditionalFormatting sqref="P30">
    <cfRule type="expression" dxfId="2" priority="3" stopIfTrue="1">
      <formula>$CJ61="振替休日"</formula>
    </cfRule>
  </conditionalFormatting>
  <conditionalFormatting sqref="P33">
    <cfRule type="expression" dxfId="1" priority="2" stopIfTrue="1">
      <formula>$CJ64="振替休日"</formula>
    </cfRule>
  </conditionalFormatting>
  <conditionalFormatting sqref="P35">
    <cfRule type="expression" dxfId="0" priority="1" stopIfTrue="1">
      <formula>$CJ66="振替休日"</formula>
    </cfRule>
  </conditionalFormatting>
  <dataValidations count="2">
    <dataValidation type="list" allowBlank="1" showInputMessage="1" showErrorMessage="1" sqref="I11:J42" xr:uid="{7F2ED623-F47C-4813-BD9A-5E80E398BF43}">
      <formula1>"休工日,年末年始,夏季休暇,工場製作,一時中止,その他対象外"</formula1>
    </dataValidation>
    <dataValidation type="list" allowBlank="1" showInputMessage="1" showErrorMessage="1" sqref="E8:K8" xr:uid="{A62EB4E3-1048-4526-9D4B-48A954F1E1AE}">
      <formula1>"和歌山,友ヶ島"</formula1>
    </dataValidation>
  </dataValidations>
  <pageMargins left="1.1023622047244095" right="0.70866141732283472" top="0.74803149606299213" bottom="0.74803149606299213" header="0.31496062992125984" footer="0.31496062992125984"/>
  <pageSetup paperSize="9" scale="8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3FB4-23E4-431D-BCD6-F299A96A1C8F}">
  <dimension ref="B1:Q9"/>
  <sheetViews>
    <sheetView showGridLines="0" zoomScaleNormal="100" workbookViewId="0">
      <selection activeCell="W15" sqref="W15"/>
    </sheetView>
  </sheetViews>
  <sheetFormatPr defaultColWidth="3.75" defaultRowHeight="15" customHeight="1" x14ac:dyDescent="0.15"/>
  <cols>
    <col min="1" max="16384" width="3.75" style="68"/>
  </cols>
  <sheetData>
    <row r="1" spans="2:17" ht="15" customHeight="1" x14ac:dyDescent="0.15">
      <c r="O1" s="161" t="s">
        <v>106</v>
      </c>
      <c r="P1" s="161"/>
    </row>
    <row r="2" spans="2:17" ht="15" customHeight="1" x14ac:dyDescent="0.15">
      <c r="C2" s="70" t="s">
        <v>103</v>
      </c>
      <c r="E2" s="70" t="s">
        <v>104</v>
      </c>
      <c r="O2" s="161"/>
      <c r="P2" s="161"/>
      <c r="Q2" s="70" t="s">
        <v>107</v>
      </c>
    </row>
    <row r="3" spans="2:17" ht="15" customHeight="1" x14ac:dyDescent="0.15">
      <c r="C3" s="69"/>
      <c r="E3" s="69"/>
      <c r="O3" s="69"/>
      <c r="Q3" s="69"/>
    </row>
    <row r="4" spans="2:17" ht="15" customHeight="1" x14ac:dyDescent="0.15">
      <c r="C4" s="69"/>
      <c r="E4" s="69"/>
      <c r="O4" s="77"/>
      <c r="P4" s="78"/>
      <c r="Q4" s="69"/>
    </row>
    <row r="5" spans="2:17" ht="15" customHeight="1" x14ac:dyDescent="0.15">
      <c r="B5" s="74"/>
      <c r="C5" s="73"/>
      <c r="D5" s="72"/>
      <c r="E5" s="137" t="s">
        <v>105</v>
      </c>
      <c r="F5" s="138"/>
      <c r="G5" s="138"/>
      <c r="H5" s="138"/>
      <c r="I5" s="138"/>
      <c r="J5" s="138"/>
      <c r="K5" s="138"/>
      <c r="L5" s="138"/>
      <c r="M5" s="138"/>
      <c r="N5" s="139"/>
      <c r="O5" s="71"/>
      <c r="P5" s="79"/>
    </row>
    <row r="6" spans="2:17" ht="15" customHeight="1" x14ac:dyDescent="0.15">
      <c r="B6" s="74"/>
      <c r="C6" s="75"/>
      <c r="D6" s="76"/>
      <c r="E6" s="140"/>
      <c r="F6" s="141"/>
      <c r="G6" s="141"/>
      <c r="H6" s="141"/>
      <c r="I6" s="141"/>
      <c r="J6" s="141"/>
      <c r="K6" s="141"/>
      <c r="L6" s="141"/>
      <c r="M6" s="141"/>
      <c r="N6" s="142"/>
      <c r="O6" s="80"/>
      <c r="P6" s="81"/>
    </row>
    <row r="7" spans="2:17" ht="9" customHeight="1" x14ac:dyDescent="0.15"/>
    <row r="8" spans="2:17" ht="15" customHeight="1" x14ac:dyDescent="0.15">
      <c r="E8" s="143" t="s">
        <v>100</v>
      </c>
      <c r="F8" s="144"/>
      <c r="G8" s="145"/>
      <c r="H8" s="155" t="s">
        <v>102</v>
      </c>
      <c r="I8" s="156"/>
      <c r="J8" s="156"/>
      <c r="K8" s="157"/>
      <c r="L8" s="149" t="s">
        <v>101</v>
      </c>
      <c r="M8" s="150"/>
      <c r="N8" s="151"/>
    </row>
    <row r="9" spans="2:17" ht="15" customHeight="1" x14ac:dyDescent="0.15">
      <c r="E9" s="146"/>
      <c r="F9" s="147"/>
      <c r="G9" s="148"/>
      <c r="H9" s="158"/>
      <c r="I9" s="159"/>
      <c r="J9" s="159"/>
      <c r="K9" s="160"/>
      <c r="L9" s="152"/>
      <c r="M9" s="153"/>
      <c r="N9" s="154"/>
    </row>
  </sheetData>
  <mergeCells count="5">
    <mergeCell ref="E5:N6"/>
    <mergeCell ref="E8:G9"/>
    <mergeCell ref="L8:N9"/>
    <mergeCell ref="H8:K9"/>
    <mergeCell ref="O1:P2"/>
  </mergeCells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G13" sqref="G13"/>
    </sheetView>
  </sheetViews>
  <sheetFormatPr defaultRowHeight="13.5" x14ac:dyDescent="0.15"/>
  <sheetData>
    <row r="1" spans="1:2" x14ac:dyDescent="0.15">
      <c r="A1" s="7">
        <v>1</v>
      </c>
      <c r="B1" t="s">
        <v>5</v>
      </c>
    </row>
    <row r="2" spans="1:2" x14ac:dyDescent="0.15">
      <c r="A2" s="7">
        <v>2</v>
      </c>
      <c r="B2" t="s">
        <v>21</v>
      </c>
    </row>
    <row r="3" spans="1:2" x14ac:dyDescent="0.15">
      <c r="A3" s="7">
        <v>3</v>
      </c>
      <c r="B3" t="s">
        <v>22</v>
      </c>
    </row>
    <row r="4" spans="1:2" x14ac:dyDescent="0.15">
      <c r="A4" s="7">
        <v>4</v>
      </c>
      <c r="B4" t="s">
        <v>23</v>
      </c>
    </row>
    <row r="5" spans="1:2" x14ac:dyDescent="0.15">
      <c r="A5" s="7">
        <v>5</v>
      </c>
      <c r="B5" t="s">
        <v>24</v>
      </c>
    </row>
    <row r="6" spans="1:2" x14ac:dyDescent="0.15">
      <c r="A6" s="7">
        <v>6</v>
      </c>
      <c r="B6" t="s">
        <v>25</v>
      </c>
    </row>
    <row r="7" spans="1:2" x14ac:dyDescent="0.15">
      <c r="A7" s="7">
        <v>7</v>
      </c>
      <c r="B7" t="s">
        <v>26</v>
      </c>
    </row>
    <row r="8" spans="1:2" x14ac:dyDescent="0.15">
      <c r="A8" s="7">
        <v>8</v>
      </c>
      <c r="B8" t="s">
        <v>27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workbookViewId="0">
      <selection activeCell="F18" sqref="F18"/>
    </sheetView>
  </sheetViews>
  <sheetFormatPr defaultRowHeight="13.5" x14ac:dyDescent="0.15"/>
  <cols>
    <col min="1" max="1" width="4.5" customWidth="1"/>
    <col min="2" max="2" width="11.125" bestFit="1" customWidth="1"/>
    <col min="3" max="3" width="3.125" bestFit="1" customWidth="1"/>
    <col min="4" max="4" width="14.125" bestFit="1" customWidth="1"/>
  </cols>
  <sheetData>
    <row r="1" spans="1:4" x14ac:dyDescent="0.15">
      <c r="A1" s="22"/>
      <c r="B1" s="22"/>
      <c r="C1" s="22"/>
      <c r="D1" s="22"/>
    </row>
    <row r="2" spans="1:4" ht="19.5" customHeight="1" x14ac:dyDescent="0.15">
      <c r="A2" s="162" t="s">
        <v>28</v>
      </c>
      <c r="B2" s="23">
        <v>43950</v>
      </c>
      <c r="C2" s="24" t="s">
        <v>29</v>
      </c>
      <c r="D2" s="25" t="s">
        <v>30</v>
      </c>
    </row>
    <row r="3" spans="1:4" ht="19.5" customHeight="1" x14ac:dyDescent="0.15">
      <c r="A3" s="163"/>
      <c r="B3" s="23">
        <v>43954</v>
      </c>
      <c r="C3" s="26" t="s">
        <v>31</v>
      </c>
      <c r="D3" s="25" t="s">
        <v>32</v>
      </c>
    </row>
    <row r="4" spans="1:4" ht="19.5" customHeight="1" x14ac:dyDescent="0.15">
      <c r="A4" s="163"/>
      <c r="B4" s="23">
        <v>43955</v>
      </c>
      <c r="C4" s="24" t="s">
        <v>33</v>
      </c>
      <c r="D4" s="25" t="s">
        <v>34</v>
      </c>
    </row>
    <row r="5" spans="1:4" ht="19.5" customHeight="1" x14ac:dyDescent="0.15">
      <c r="A5" s="163"/>
      <c r="B5" s="23">
        <v>43956</v>
      </c>
      <c r="C5" s="24" t="s">
        <v>35</v>
      </c>
      <c r="D5" s="25" t="s">
        <v>36</v>
      </c>
    </row>
    <row r="6" spans="1:4" ht="19.5" customHeight="1" x14ac:dyDescent="0.15">
      <c r="A6" s="163"/>
      <c r="B6" s="23">
        <v>43957</v>
      </c>
      <c r="C6" s="24" t="s">
        <v>29</v>
      </c>
      <c r="D6" s="25" t="s">
        <v>37</v>
      </c>
    </row>
    <row r="7" spans="1:4" ht="19.5" customHeight="1" x14ac:dyDescent="0.15">
      <c r="A7" s="163"/>
      <c r="B7" s="23">
        <v>44035</v>
      </c>
      <c r="C7" s="24" t="s">
        <v>38</v>
      </c>
      <c r="D7" s="25" t="s">
        <v>39</v>
      </c>
    </row>
    <row r="8" spans="1:4" ht="19.5" customHeight="1" x14ac:dyDescent="0.15">
      <c r="A8" s="163"/>
      <c r="B8" s="23">
        <v>44036</v>
      </c>
      <c r="C8" s="24" t="s">
        <v>40</v>
      </c>
      <c r="D8" s="25" t="s">
        <v>41</v>
      </c>
    </row>
    <row r="9" spans="1:4" ht="19.5" customHeight="1" x14ac:dyDescent="0.15">
      <c r="A9" s="163"/>
      <c r="B9" s="23">
        <v>44053</v>
      </c>
      <c r="C9" s="24" t="s">
        <v>33</v>
      </c>
      <c r="D9" s="25" t="s">
        <v>42</v>
      </c>
    </row>
    <row r="10" spans="1:4" ht="19.5" customHeight="1" x14ac:dyDescent="0.15">
      <c r="A10" s="163"/>
      <c r="B10" s="23">
        <v>44095</v>
      </c>
      <c r="C10" s="24" t="s">
        <v>33</v>
      </c>
      <c r="D10" s="25" t="s">
        <v>43</v>
      </c>
    </row>
    <row r="11" spans="1:4" ht="19.5" customHeight="1" x14ac:dyDescent="0.15">
      <c r="A11" s="163"/>
      <c r="B11" s="23">
        <v>44096</v>
      </c>
      <c r="C11" s="24" t="s">
        <v>35</v>
      </c>
      <c r="D11" s="25" t="s">
        <v>44</v>
      </c>
    </row>
    <row r="12" spans="1:4" ht="19.5" customHeight="1" x14ac:dyDescent="0.15">
      <c r="A12" s="163"/>
      <c r="B12" s="23">
        <v>44138</v>
      </c>
      <c r="C12" s="24" t="s">
        <v>35</v>
      </c>
      <c r="D12" s="25" t="s">
        <v>45</v>
      </c>
    </row>
    <row r="13" spans="1:4" ht="19.5" customHeight="1" x14ac:dyDescent="0.15">
      <c r="A13" s="163"/>
      <c r="B13" s="23">
        <v>44158</v>
      </c>
      <c r="C13" s="24" t="s">
        <v>33</v>
      </c>
      <c r="D13" s="25" t="s">
        <v>46</v>
      </c>
    </row>
    <row r="14" spans="1:4" ht="19.5" customHeight="1" x14ac:dyDescent="0.15">
      <c r="A14" s="163"/>
      <c r="B14" s="23">
        <v>44197</v>
      </c>
      <c r="C14" s="24" t="s">
        <v>40</v>
      </c>
      <c r="D14" s="25" t="s">
        <v>47</v>
      </c>
    </row>
    <row r="15" spans="1:4" ht="19.5" customHeight="1" x14ac:dyDescent="0.15">
      <c r="A15" s="163"/>
      <c r="B15" s="23">
        <v>44207</v>
      </c>
      <c r="C15" s="24" t="s">
        <v>33</v>
      </c>
      <c r="D15" s="25" t="s">
        <v>48</v>
      </c>
    </row>
    <row r="16" spans="1:4" ht="19.5" customHeight="1" x14ac:dyDescent="0.15">
      <c r="A16" s="163"/>
      <c r="B16" s="23">
        <v>44238</v>
      </c>
      <c r="C16" s="24" t="s">
        <v>38</v>
      </c>
      <c r="D16" s="25" t="s">
        <v>49</v>
      </c>
    </row>
    <row r="17" spans="1:4" ht="19.5" customHeight="1" x14ac:dyDescent="0.15">
      <c r="A17" s="163"/>
      <c r="B17" s="23">
        <v>44250</v>
      </c>
      <c r="C17" s="24" t="s">
        <v>35</v>
      </c>
      <c r="D17" s="25" t="s">
        <v>50</v>
      </c>
    </row>
    <row r="18" spans="1:4" ht="19.5" customHeight="1" x14ac:dyDescent="0.15">
      <c r="A18" s="164"/>
      <c r="B18" s="23">
        <v>44275</v>
      </c>
      <c r="C18" s="26" t="s">
        <v>51</v>
      </c>
      <c r="D18" s="25" t="s">
        <v>52</v>
      </c>
    </row>
    <row r="19" spans="1:4" ht="19.5" x14ac:dyDescent="0.15">
      <c r="A19" s="165" t="s">
        <v>53</v>
      </c>
      <c r="B19" s="23">
        <v>44315</v>
      </c>
      <c r="C19" s="24" t="s">
        <v>38</v>
      </c>
      <c r="D19" s="25" t="s">
        <v>30</v>
      </c>
    </row>
    <row r="20" spans="1:4" ht="19.5" x14ac:dyDescent="0.15">
      <c r="A20" s="166"/>
      <c r="B20" s="23">
        <v>44319</v>
      </c>
      <c r="C20" s="24" t="s">
        <v>33</v>
      </c>
      <c r="D20" s="25" t="s">
        <v>32</v>
      </c>
    </row>
    <row r="21" spans="1:4" ht="19.5" x14ac:dyDescent="0.15">
      <c r="A21" s="166"/>
      <c r="B21" s="23">
        <v>44320</v>
      </c>
      <c r="C21" s="24" t="s">
        <v>35</v>
      </c>
      <c r="D21" s="25" t="s">
        <v>34</v>
      </c>
    </row>
    <row r="22" spans="1:4" ht="19.5" x14ac:dyDescent="0.15">
      <c r="A22" s="166"/>
      <c r="B22" s="23">
        <v>44321</v>
      </c>
      <c r="C22" s="24" t="s">
        <v>29</v>
      </c>
      <c r="D22" s="25" t="s">
        <v>36</v>
      </c>
    </row>
    <row r="23" spans="1:4" ht="19.5" x14ac:dyDescent="0.15">
      <c r="A23" s="166"/>
      <c r="B23" s="23">
        <v>44396</v>
      </c>
      <c r="C23" s="24" t="s">
        <v>33</v>
      </c>
      <c r="D23" s="25" t="s">
        <v>39</v>
      </c>
    </row>
    <row r="24" spans="1:4" ht="19.5" x14ac:dyDescent="0.15">
      <c r="A24" s="166"/>
      <c r="B24" s="23">
        <v>44419</v>
      </c>
      <c r="C24" s="24" t="s">
        <v>29</v>
      </c>
      <c r="D24" s="25" t="s">
        <v>42</v>
      </c>
    </row>
    <row r="25" spans="1:4" ht="19.5" x14ac:dyDescent="0.15">
      <c r="A25" s="166"/>
      <c r="B25" s="23">
        <v>44459</v>
      </c>
      <c r="C25" s="24" t="s">
        <v>33</v>
      </c>
      <c r="D25" s="25" t="s">
        <v>43</v>
      </c>
    </row>
    <row r="26" spans="1:4" ht="19.5" x14ac:dyDescent="0.15">
      <c r="A26" s="166"/>
      <c r="B26" s="23">
        <v>44462</v>
      </c>
      <c r="C26" s="24" t="s">
        <v>38</v>
      </c>
      <c r="D26" s="25" t="s">
        <v>44</v>
      </c>
    </row>
    <row r="27" spans="1:4" ht="19.5" x14ac:dyDescent="0.15">
      <c r="A27" s="166"/>
      <c r="B27" s="23">
        <v>44480</v>
      </c>
      <c r="C27" s="24" t="s">
        <v>33</v>
      </c>
      <c r="D27" s="25" t="s">
        <v>41</v>
      </c>
    </row>
    <row r="28" spans="1:4" ht="19.5" x14ac:dyDescent="0.15">
      <c r="A28" s="166"/>
      <c r="B28" s="23">
        <v>44503</v>
      </c>
      <c r="C28" s="24" t="s">
        <v>29</v>
      </c>
      <c r="D28" s="25" t="s">
        <v>45</v>
      </c>
    </row>
    <row r="29" spans="1:4" ht="19.5" x14ac:dyDescent="0.15">
      <c r="A29" s="166"/>
      <c r="B29" s="23">
        <v>44523</v>
      </c>
      <c r="C29" s="24" t="s">
        <v>35</v>
      </c>
      <c r="D29" s="25" t="s">
        <v>46</v>
      </c>
    </row>
    <row r="30" spans="1:4" ht="19.5" x14ac:dyDescent="0.15">
      <c r="A30" s="166"/>
      <c r="B30" s="23">
        <v>44562</v>
      </c>
      <c r="C30" s="26" t="s">
        <v>51</v>
      </c>
      <c r="D30" s="25" t="s">
        <v>47</v>
      </c>
    </row>
    <row r="31" spans="1:4" ht="19.5" x14ac:dyDescent="0.15">
      <c r="A31" s="166"/>
      <c r="B31" s="23">
        <v>44571</v>
      </c>
      <c r="C31" s="24" t="s">
        <v>33</v>
      </c>
      <c r="D31" s="25" t="s">
        <v>48</v>
      </c>
    </row>
    <row r="32" spans="1:4" ht="19.5" x14ac:dyDescent="0.15">
      <c r="A32" s="166"/>
      <c r="B32" s="23">
        <v>44603</v>
      </c>
      <c r="C32" s="24" t="s">
        <v>40</v>
      </c>
      <c r="D32" s="25" t="s">
        <v>49</v>
      </c>
    </row>
    <row r="33" spans="1:4" ht="19.5" x14ac:dyDescent="0.15">
      <c r="A33" s="166"/>
      <c r="B33" s="23">
        <v>44615</v>
      </c>
      <c r="C33" s="24" t="s">
        <v>29</v>
      </c>
      <c r="D33" s="25" t="s">
        <v>50</v>
      </c>
    </row>
    <row r="34" spans="1:4" ht="19.5" x14ac:dyDescent="0.15">
      <c r="A34" s="167"/>
      <c r="B34" s="23">
        <v>44641</v>
      </c>
      <c r="C34" s="24" t="s">
        <v>33</v>
      </c>
      <c r="D34" s="25" t="s">
        <v>52</v>
      </c>
    </row>
    <row r="35" spans="1:4" x14ac:dyDescent="0.15">
      <c r="A35" s="27"/>
    </row>
  </sheetData>
  <mergeCells count="2">
    <mergeCell ref="A2:A18"/>
    <mergeCell ref="A19:A3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真夏日率算定表</vt:lpstr>
      <vt:lpstr>【記載例】真夏日率算定表</vt:lpstr>
      <vt:lpstr>集計表1</vt:lpstr>
      <vt:lpstr>【記載例】集計表記載例</vt:lpstr>
      <vt:lpstr>Sheet2</vt:lpstr>
      <vt:lpstr>観測所</vt:lpstr>
      <vt:lpstr>祝日一覧</vt:lpstr>
      <vt:lpstr>【記載例】集計表記載例!Print_Area</vt:lpstr>
      <vt:lpstr>【記載例】真夏日率算定表!Print_Area</vt:lpstr>
      <vt:lpstr>集計表1!Print_Area</vt:lpstr>
      <vt:lpstr>真夏日率算定表!Print_Area</vt:lpstr>
      <vt:lpstr>【記載例】集計表記載例!祝日リスト</vt:lpstr>
      <vt:lpstr>集計表1!祝日リスト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和歌山市</cp:lastModifiedBy>
  <cp:lastPrinted>2024-11-25T04:48:50Z</cp:lastPrinted>
  <dcterms:created xsi:type="dcterms:W3CDTF">2020-09-08T07:17:13Z</dcterms:created>
  <dcterms:modified xsi:type="dcterms:W3CDTF">2024-11-25T04:52:06Z</dcterms:modified>
</cp:coreProperties>
</file>